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6990"/>
  </bookViews>
  <sheets>
    <sheet name="SALARIOS" sheetId="1" r:id="rId1"/>
    <sheet name="JORNAL REAL" sheetId="2" r:id="rId2"/>
    <sheet name="VALOR DE CUADRILLAS" sheetId="3" r:id="rId3"/>
    <sheet name="EJEMPLOS CAP 1" sheetId="4" r:id="rId4"/>
    <sheet name="PROPUESTOS" sheetId="5" r:id="rId5"/>
    <sheet name="INSUMOS" sheetId="6" r:id="rId6"/>
    <sheet name="A.I.U" sheetId="7" r:id="rId7"/>
  </sheets>
  <calcPr calcId="162913"/>
</workbook>
</file>

<file path=xl/calcChain.xml><?xml version="1.0" encoding="utf-8"?>
<calcChain xmlns="http://schemas.openxmlformats.org/spreadsheetml/2006/main">
  <c r="D181" i="7" l="1"/>
  <c r="F181" i="7" s="1"/>
  <c r="F179" i="7" s="1"/>
  <c r="F183" i="7" s="1"/>
  <c r="F149" i="7"/>
  <c r="F144" i="7"/>
  <c r="D116" i="7"/>
  <c r="D132" i="7" s="1"/>
  <c r="D131" i="7"/>
  <c r="D146" i="7" s="1"/>
  <c r="F146" i="7" s="1"/>
  <c r="F134" i="7"/>
  <c r="F131" i="7"/>
  <c r="F129" i="7"/>
  <c r="D84" i="7"/>
  <c r="D94" i="7" s="1"/>
  <c r="F118" i="7"/>
  <c r="F116" i="7"/>
  <c r="F115" i="7"/>
  <c r="F113" i="7"/>
  <c r="F105" i="7"/>
  <c r="F103" i="7"/>
  <c r="F95" i="7"/>
  <c r="F93" i="7"/>
  <c r="F85" i="7"/>
  <c r="F84" i="7"/>
  <c r="F83" i="7"/>
  <c r="F28" i="7"/>
  <c r="F31" i="7"/>
  <c r="F30" i="7"/>
  <c r="F29" i="7"/>
  <c r="F27" i="7"/>
  <c r="F26" i="7"/>
  <c r="F33" i="7" s="1"/>
  <c r="B160" i="5"/>
  <c r="B45" i="1"/>
  <c r="D15" i="7"/>
  <c r="E15" i="7" s="1"/>
  <c r="D14" i="7"/>
  <c r="F14" i="7" s="1"/>
  <c r="D13" i="7"/>
  <c r="F13" i="7" s="1"/>
  <c r="D12" i="7"/>
  <c r="F12" i="7" s="1"/>
  <c r="D11" i="7"/>
  <c r="F11" i="7" s="1"/>
  <c r="D10" i="7"/>
  <c r="F10" i="7" s="1"/>
  <c r="D9" i="7"/>
  <c r="F9" i="7" s="1"/>
  <c r="D8" i="7"/>
  <c r="F8" i="7" s="1"/>
  <c r="D160" i="5"/>
  <c r="D158" i="5"/>
  <c r="B154" i="5"/>
  <c r="D156" i="5"/>
  <c r="B155" i="5"/>
  <c r="D155" i="5" s="1"/>
  <c r="D154" i="5"/>
  <c r="D138" i="5"/>
  <c r="D136" i="5"/>
  <c r="D134" i="5"/>
  <c r="B133" i="5"/>
  <c r="D133" i="5" s="1"/>
  <c r="B132" i="5"/>
  <c r="D132" i="5" s="1"/>
  <c r="B113" i="5"/>
  <c r="D113" i="5" s="1"/>
  <c r="B95" i="5"/>
  <c r="D95" i="5" s="1"/>
  <c r="B79" i="5"/>
  <c r="D79" i="5" s="1"/>
  <c r="B64" i="5"/>
  <c r="D64" i="5" s="1"/>
  <c r="B74" i="4"/>
  <c r="D74" i="4" s="1"/>
  <c r="B59" i="4"/>
  <c r="D59" i="4" s="1"/>
  <c r="B45" i="4"/>
  <c r="D45" i="4" s="1"/>
  <c r="B21" i="2"/>
  <c r="C21" i="2" s="1"/>
  <c r="B5" i="2"/>
  <c r="B4" i="2"/>
  <c r="B30" i="1"/>
  <c r="B33" i="1" s="1"/>
  <c r="B24" i="1"/>
  <c r="B159" i="5" s="1"/>
  <c r="D159" i="5" s="1"/>
  <c r="B5" i="1"/>
  <c r="B8" i="1" s="1"/>
  <c r="B9" i="1" s="1"/>
  <c r="F87" i="7" l="1"/>
  <c r="D163" i="5"/>
  <c r="D104" i="7"/>
  <c r="F94" i="7"/>
  <c r="F97" i="7" s="1"/>
  <c r="D147" i="7"/>
  <c r="F147" i="7" s="1"/>
  <c r="F132" i="7"/>
  <c r="B44" i="4"/>
  <c r="D44" i="4" s="1"/>
  <c r="D46" i="4" s="1"/>
  <c r="B58" i="4"/>
  <c r="D58" i="4" s="1"/>
  <c r="B73" i="4"/>
  <c r="D73" i="4" s="1"/>
  <c r="B63" i="5"/>
  <c r="D63" i="5" s="1"/>
  <c r="B78" i="5"/>
  <c r="D78" i="5" s="1"/>
  <c r="B94" i="5"/>
  <c r="D94" i="5" s="1"/>
  <c r="B112" i="5"/>
  <c r="D112" i="5" s="1"/>
  <c r="C5" i="2"/>
  <c r="B5" i="4"/>
  <c r="D5" i="4" s="1"/>
  <c r="B17" i="4"/>
  <c r="D17" i="4" s="1"/>
  <c r="B32" i="4"/>
  <c r="D32" i="4" s="1"/>
  <c r="B7" i="5"/>
  <c r="D7" i="5" s="1"/>
  <c r="B22" i="5"/>
  <c r="D22" i="5" s="1"/>
  <c r="B37" i="5"/>
  <c r="D37" i="5" s="1"/>
  <c r="B50" i="5"/>
  <c r="D50" i="5" s="1"/>
  <c r="B137" i="5"/>
  <c r="D137" i="5" s="1"/>
  <c r="D141" i="5" s="1"/>
  <c r="C4" i="2"/>
  <c r="D5" i="2" s="1"/>
  <c r="B31" i="4"/>
  <c r="D31" i="4" s="1"/>
  <c r="D33" i="4" s="1"/>
  <c r="B36" i="5"/>
  <c r="D36" i="5" s="1"/>
  <c r="B49" i="5"/>
  <c r="D49" i="5" s="1"/>
  <c r="D51" i="5" s="1"/>
  <c r="F15" i="7"/>
  <c r="D38" i="5"/>
  <c r="B23" i="2"/>
  <c r="B25" i="2"/>
  <c r="B27" i="2"/>
  <c r="B28" i="2"/>
  <c r="B29" i="2"/>
  <c r="B30" i="2"/>
  <c r="B31" i="2"/>
  <c r="B32" i="2"/>
  <c r="B33" i="2"/>
  <c r="B6" i="2"/>
  <c r="B8" i="2"/>
  <c r="B10" i="2"/>
  <c r="B11" i="2"/>
  <c r="B12" i="2"/>
  <c r="B13" i="2"/>
  <c r="B14" i="2"/>
  <c r="B15" i="2"/>
  <c r="B16" i="2"/>
  <c r="B44" i="1"/>
  <c r="B42" i="1"/>
  <c r="B41" i="1"/>
  <c r="B37" i="1"/>
  <c r="B36" i="1"/>
  <c r="B115" i="5" s="1"/>
  <c r="B121" i="5" s="1"/>
  <c r="D121" i="5" s="1"/>
  <c r="B34" i="1"/>
  <c r="B16" i="1"/>
  <c r="B17" i="1"/>
  <c r="B19" i="1"/>
  <c r="B20" i="1"/>
  <c r="B11" i="1"/>
  <c r="B12" i="1"/>
  <c r="D114" i="7" l="1"/>
  <c r="F104" i="7"/>
  <c r="F107" i="7" s="1"/>
  <c r="B76" i="4"/>
  <c r="D76" i="4" s="1"/>
  <c r="B81" i="4"/>
  <c r="D81" i="4" s="1"/>
  <c r="B114" i="5"/>
  <c r="B96" i="5"/>
  <c r="B65" i="5"/>
  <c r="B60" i="4"/>
  <c r="B102" i="5"/>
  <c r="D102" i="5" s="1"/>
  <c r="B97" i="5"/>
  <c r="D97" i="5" s="1"/>
  <c r="D115" i="5"/>
  <c r="B27" i="5"/>
  <c r="D27" i="5" s="1"/>
  <c r="B23" i="5"/>
  <c r="D23" i="5" s="1"/>
  <c r="B12" i="5"/>
  <c r="D12" i="5" s="1"/>
  <c r="B8" i="5"/>
  <c r="D8" i="5" s="1"/>
  <c r="B22" i="4"/>
  <c r="D22" i="4" s="1"/>
  <c r="B18" i="4"/>
  <c r="D18" i="4" s="1"/>
  <c r="B21" i="5"/>
  <c r="D21" i="5" s="1"/>
  <c r="D24" i="5" s="1"/>
  <c r="B6" i="5"/>
  <c r="D6" i="5" s="1"/>
  <c r="D9" i="5" s="1"/>
  <c r="B16" i="4"/>
  <c r="D16" i="4" s="1"/>
  <c r="D19" i="4" s="1"/>
  <c r="B4" i="4"/>
  <c r="D4" i="4" s="1"/>
  <c r="D6" i="4" s="1"/>
  <c r="B84" i="5"/>
  <c r="D84" i="5" s="1"/>
  <c r="D80" i="5"/>
  <c r="D81" i="5" s="1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5" i="2"/>
  <c r="C25" i="2"/>
  <c r="B26" i="2"/>
  <c r="B35" i="2" s="1"/>
  <c r="B24" i="2"/>
  <c r="C23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B9" i="2"/>
  <c r="B17" i="2" s="1"/>
  <c r="B7" i="2"/>
  <c r="C6" i="2"/>
  <c r="D130" i="7" l="1"/>
  <c r="F114" i="7"/>
  <c r="B64" i="4"/>
  <c r="D60" i="4"/>
  <c r="D61" i="4" s="1"/>
  <c r="B69" i="5"/>
  <c r="D69" i="5" s="1"/>
  <c r="D65" i="5"/>
  <c r="D66" i="5" s="1"/>
  <c r="B101" i="5"/>
  <c r="D101" i="5" s="1"/>
  <c r="D96" i="5"/>
  <c r="D98" i="5" s="1"/>
  <c r="B120" i="5"/>
  <c r="D120" i="5" s="1"/>
  <c r="D114" i="5"/>
  <c r="D117" i="5" s="1"/>
  <c r="C24" i="2"/>
  <c r="D23" i="2"/>
  <c r="D26" i="2"/>
  <c r="C26" i="2"/>
  <c r="C35" i="2" s="1"/>
  <c r="C7" i="2"/>
  <c r="D6" i="2"/>
  <c r="D9" i="2"/>
  <c r="C9" i="2"/>
  <c r="C17" i="2" s="1"/>
  <c r="D145" i="7" l="1"/>
  <c r="F145" i="7" s="1"/>
  <c r="F130" i="7"/>
  <c r="D17" i="7"/>
  <c r="B119" i="5"/>
  <c r="D119" i="5" s="1"/>
  <c r="D123" i="5" s="1"/>
  <c r="D125" i="5" s="1"/>
  <c r="B100" i="5"/>
  <c r="D100" i="5" s="1"/>
  <c r="D104" i="5" s="1"/>
  <c r="D106" i="5" s="1"/>
  <c r="B83" i="5"/>
  <c r="D83" i="5" s="1"/>
  <c r="D86" i="5" s="1"/>
  <c r="D88" i="5" s="1"/>
  <c r="B68" i="5"/>
  <c r="D68" i="5" s="1"/>
  <c r="D70" i="5" s="1"/>
  <c r="D72" i="5" s="1"/>
  <c r="B63" i="4"/>
  <c r="B48" i="4"/>
  <c r="D48" i="4" s="1"/>
  <c r="D50" i="4" s="1"/>
  <c r="D52" i="4" s="1"/>
  <c r="B9" i="3"/>
  <c r="B75" i="4"/>
  <c r="D64" i="4"/>
  <c r="D18" i="7"/>
  <c r="B53" i="5"/>
  <c r="D53" i="5" s="1"/>
  <c r="D55" i="5" s="1"/>
  <c r="D57" i="5" s="1"/>
  <c r="B26" i="5"/>
  <c r="B11" i="5"/>
  <c r="D11" i="5" s="1"/>
  <c r="D13" i="5" s="1"/>
  <c r="D15" i="5" s="1"/>
  <c r="B21" i="4"/>
  <c r="B8" i="4"/>
  <c r="D8" i="4" s="1"/>
  <c r="D10" i="4" s="1"/>
  <c r="B5" i="3"/>
  <c r="D24" i="2"/>
  <c r="D35" i="2" s="1"/>
  <c r="D7" i="2"/>
  <c r="D17" i="2"/>
  <c r="C5" i="3" l="1"/>
  <c r="B7" i="3"/>
  <c r="F18" i="7"/>
  <c r="D41" i="7"/>
  <c r="F17" i="7"/>
  <c r="D40" i="7"/>
  <c r="B80" i="4"/>
  <c r="D80" i="4" s="1"/>
  <c r="D75" i="4"/>
  <c r="D77" i="4" s="1"/>
  <c r="B79" i="4"/>
  <c r="D79" i="4" s="1"/>
  <c r="D63" i="4"/>
  <c r="D65" i="4" s="1"/>
  <c r="D67" i="4" s="1"/>
  <c r="B16" i="3"/>
  <c r="B15" i="3"/>
  <c r="B14" i="3"/>
  <c r="B13" i="3"/>
  <c r="B12" i="3"/>
  <c r="B11" i="3"/>
  <c r="B10" i="3"/>
  <c r="B6" i="3"/>
  <c r="B35" i="4"/>
  <c r="D35" i="4" s="1"/>
  <c r="D36" i="4" s="1"/>
  <c r="D38" i="4" s="1"/>
  <c r="D21" i="4"/>
  <c r="D23" i="4" s="1"/>
  <c r="D25" i="4" s="1"/>
  <c r="B40" i="5"/>
  <c r="D40" i="5" s="1"/>
  <c r="D41" i="5" s="1"/>
  <c r="D43" i="5" s="1"/>
  <c r="D26" i="5"/>
  <c r="D28" i="5" s="1"/>
  <c r="D30" i="5" s="1"/>
  <c r="D51" i="7" l="1"/>
  <c r="F40" i="7"/>
  <c r="D52" i="7"/>
  <c r="F41" i="7"/>
  <c r="F16" i="7"/>
  <c r="F20" i="7" s="1"/>
  <c r="D82" i="4"/>
  <c r="D84" i="4" s="1"/>
  <c r="D63" i="7" l="1"/>
  <c r="F52" i="7"/>
  <c r="D62" i="7"/>
  <c r="D119" i="7" s="1"/>
  <c r="F51" i="7"/>
  <c r="F50" i="7" s="1"/>
  <c r="F54" i="7" s="1"/>
  <c r="F39" i="7"/>
  <c r="F43" i="7" s="1"/>
  <c r="D135" i="7" l="1"/>
  <c r="F119" i="7"/>
  <c r="D73" i="7"/>
  <c r="F73" i="7" s="1"/>
  <c r="F62" i="7"/>
  <c r="F63" i="7"/>
  <c r="D74" i="7"/>
  <c r="F74" i="7" l="1"/>
  <c r="D120" i="7"/>
  <c r="D150" i="7"/>
  <c r="F150" i="7" s="1"/>
  <c r="F135" i="7"/>
  <c r="F61" i="7"/>
  <c r="F65" i="7" s="1"/>
  <c r="F72" i="7"/>
  <c r="F76" i="7" s="1"/>
  <c r="D136" i="7" l="1"/>
  <c r="F120" i="7"/>
  <c r="F117" i="7" s="1"/>
  <c r="F121" i="7" s="1"/>
  <c r="D151" i="7" l="1"/>
  <c r="D161" i="7" s="1"/>
  <c r="F136" i="7"/>
  <c r="F133" i="7" s="1"/>
  <c r="F137" i="7" s="1"/>
  <c r="D171" i="7" l="1"/>
  <c r="F171" i="7" s="1"/>
  <c r="F170" i="7" s="1"/>
  <c r="F173" i="7" s="1"/>
  <c r="F161" i="7"/>
  <c r="F160" i="7" s="1"/>
  <c r="F163" i="7" s="1"/>
  <c r="F151" i="7"/>
  <c r="F148" i="7" s="1"/>
  <c r="F152" i="7" s="1"/>
</calcChain>
</file>

<file path=xl/sharedStrings.xml><?xml version="1.0" encoding="utf-8"?>
<sst xmlns="http://schemas.openxmlformats.org/spreadsheetml/2006/main" count="552" uniqueCount="141">
  <si>
    <t>HORA ORDINARIA</t>
  </si>
  <si>
    <t>HORA NOCTURNA</t>
  </si>
  <si>
    <t>AUXILIO DE TRANSPORTE</t>
  </si>
  <si>
    <t>MES</t>
  </si>
  <si>
    <t>DIA</t>
  </si>
  <si>
    <t>HORAS EXTRAS</t>
  </si>
  <si>
    <t>HORAS ORDINARIAS</t>
  </si>
  <si>
    <t>SALARIO MINIMO</t>
  </si>
  <si>
    <t>SALARIO DIARIO</t>
  </si>
  <si>
    <t>HORA EXTRA ORDINARIA</t>
  </si>
  <si>
    <t>HORA EXTRA NOCTURNA</t>
  </si>
  <si>
    <t>HORA EXTRA DOMINICAL Y FESTIVO ORDINARIA</t>
  </si>
  <si>
    <t>HORA EXTRA DOMINICAL Y FESTIVO NOCTURNA</t>
  </si>
  <si>
    <t>HORA ORDINARIA DOMINICAL Y FESTIVO</t>
  </si>
  <si>
    <t>HORA NOCTURNA DOMINICAL Y FESTIVO</t>
  </si>
  <si>
    <t>SALARIO MINIMO MENSUAL</t>
  </si>
  <si>
    <t>SALARIO MENSUAL OFICIAL DE CONSTRUCCION</t>
  </si>
  <si>
    <t>DESCRIPCION</t>
  </si>
  <si>
    <t>FACTOR</t>
  </si>
  <si>
    <t>CESANTIAS</t>
  </si>
  <si>
    <t>PRIMA DE SERVICOS</t>
  </si>
  <si>
    <t>VACACIONES</t>
  </si>
  <si>
    <t>INTERESES A LAS CESANTIAS</t>
  </si>
  <si>
    <t>CAJA DE COMPENSACION FAMILIAR</t>
  </si>
  <si>
    <t>SENA (2%)</t>
  </si>
  <si>
    <t>I.C.B.F (3%)</t>
  </si>
  <si>
    <t>SALUD (12,5%)</t>
  </si>
  <si>
    <t>PENSION (16%)</t>
  </si>
  <si>
    <t>A.R.L  (RIESGO V 6,96%)</t>
  </si>
  <si>
    <t>F.I.C  (1%)</t>
  </si>
  <si>
    <t>TOTAL</t>
  </si>
  <si>
    <t>SALARIO PROMEDIO</t>
  </si>
  <si>
    <t xml:space="preserve">CUADRILLA 0:0:1 </t>
  </si>
  <si>
    <t>CUADRILLA 0:0:2</t>
  </si>
  <si>
    <t>CUADRILLA 0:0:3</t>
  </si>
  <si>
    <t>CUADRILLA 0:1:0</t>
  </si>
  <si>
    <t>CUADRILLA 0:1:1</t>
  </si>
  <si>
    <t>CUADRILLA 0:1:2</t>
  </si>
  <si>
    <t>CUADRILLA 0:1:3</t>
  </si>
  <si>
    <t>CUADRILLA 0:1:4</t>
  </si>
  <si>
    <t>CUADRILLA 0:1:5</t>
  </si>
  <si>
    <t>CUADRILLA 0:1:6</t>
  </si>
  <si>
    <t>CUADRILLA 0:1:7</t>
  </si>
  <si>
    <t>EJEMPLO 1.1</t>
  </si>
  <si>
    <t>SALARIO BASICO</t>
  </si>
  <si>
    <t>TOTAL DIAS</t>
  </si>
  <si>
    <t>VALOR DIA</t>
  </si>
  <si>
    <t>VALOR TOTAL</t>
  </si>
  <si>
    <t>TOTAL A ENTREGAR</t>
  </si>
  <si>
    <t>SALARIO CON PRESTACIONES</t>
  </si>
  <si>
    <t>TOTAL PROVISION PARA PRESTACIONES SOCIALES</t>
  </si>
  <si>
    <t>EJEMPLO 1.2</t>
  </si>
  <si>
    <t>HORAS EXTRAS ORDINARIAS</t>
  </si>
  <si>
    <t>TOTAL SALARIO CON PRESTACIONES</t>
  </si>
  <si>
    <t>EJEMPLO 1.3</t>
  </si>
  <si>
    <t>EJEMPLO 1.4</t>
  </si>
  <si>
    <t>SALARIO BASICO OFICIAL</t>
  </si>
  <si>
    <t>EJEMPLO 1.5</t>
  </si>
  <si>
    <t>EJEMPLO 1.6</t>
  </si>
  <si>
    <t>HORAS EXTRAS NOCTURNAS</t>
  </si>
  <si>
    <t>EJERCICIOS PROPUESTOS</t>
  </si>
  <si>
    <t>EJERCICIO PROPUESTO 1.1</t>
  </si>
  <si>
    <t>EJEMPLO 1.7</t>
  </si>
  <si>
    <t>EJEMPLO 1.8</t>
  </si>
  <si>
    <t>HORAS ORDINARIAS DOMINICALES</t>
  </si>
  <si>
    <t>EJEMPLO 1.9</t>
  </si>
  <si>
    <t>SALARIO BASICO AYUDANTE</t>
  </si>
  <si>
    <t>EJEMPLO 1.10</t>
  </si>
  <si>
    <t>SALARIO BASICO PARA 2 AYUDANTES</t>
  </si>
  <si>
    <t>AUXILIO DE TRANSPORTE PARA 2 AYUDANTES</t>
  </si>
  <si>
    <t>HORAS EXTRAS ORDINARIAS 2 AYUDANTES</t>
  </si>
  <si>
    <t>PRECIO DE INSUMOS</t>
  </si>
  <si>
    <t>UNIDAD</t>
  </si>
  <si>
    <t>CANTIDAD</t>
  </si>
  <si>
    <t>V-UNITARIO</t>
  </si>
  <si>
    <t>FECHA</t>
  </si>
  <si>
    <t>CEMENTO GRIS</t>
  </si>
  <si>
    <t>SACO</t>
  </si>
  <si>
    <t>ARENA DE RIO</t>
  </si>
  <si>
    <t>M3</t>
  </si>
  <si>
    <t>TRITURADO DE 1/2</t>
  </si>
  <si>
    <t>AGUA</t>
  </si>
  <si>
    <t>LITRO</t>
  </si>
  <si>
    <t>MATERIAL GRANULAR</t>
  </si>
  <si>
    <t>ANALISIS DE PRECIOS UNITARIOS</t>
  </si>
  <si>
    <t>8.3.1 CAMPAMENTO</t>
  </si>
  <si>
    <t>UNIDAD: M2</t>
  </si>
  <si>
    <t>MATERIALES</t>
  </si>
  <si>
    <t>V/UNITARIO</t>
  </si>
  <si>
    <t>DESPERDICIO</t>
  </si>
  <si>
    <t>V/PARCIAL</t>
  </si>
  <si>
    <t>TEJA FIBROCEMENTO</t>
  </si>
  <si>
    <t>M2</t>
  </si>
  <si>
    <t>AMARRAS</t>
  </si>
  <si>
    <t>UN</t>
  </si>
  <si>
    <t>GUADUA SOBREBASA</t>
  </si>
  <si>
    <t>ESTERILLA</t>
  </si>
  <si>
    <t>PUNTILLA</t>
  </si>
  <si>
    <t>LB</t>
  </si>
  <si>
    <t>ALAMBRE NEGRO</t>
  </si>
  <si>
    <t>KG</t>
  </si>
  <si>
    <t>BISAGRA DE ACERO</t>
  </si>
  <si>
    <t>CONCRETO SIMPLE 2500</t>
  </si>
  <si>
    <t>HERRAMIENTA MENOR 10% M.O</t>
  </si>
  <si>
    <t>1 OFICIAL</t>
  </si>
  <si>
    <t>JORNAL</t>
  </si>
  <si>
    <t>4 AYUDANTES</t>
  </si>
  <si>
    <t>TOTAL M2</t>
  </si>
  <si>
    <t>8.3.2 LOCALIZACION Y REPLANTEO</t>
  </si>
  <si>
    <t>AUXILIO DE TRANSPORTE OFICIAL</t>
  </si>
  <si>
    <t>AÑO 2019</t>
  </si>
  <si>
    <t>JORNAL REAL PARA AYUDANTES DE CONSTRUCCION-2019</t>
  </si>
  <si>
    <t>JORNAL REAL PARA OFICIALES DE CONSTRUCCION-2019</t>
  </si>
  <si>
    <t>VALOR DIARIO DE CUADRILLAS-2019</t>
  </si>
  <si>
    <t>8.3.3 LIMPIEZA Y DESCAPOTE</t>
  </si>
  <si>
    <t>COMISION DE TOPOGRAFIA</t>
  </si>
  <si>
    <t>EQUIPO DE TOPOGRAFIA</t>
  </si>
  <si>
    <t>PUNTILLA DE 3 PULG</t>
  </si>
  <si>
    <t>CUARTON DE SAJO 4 X 8 IN</t>
  </si>
  <si>
    <t>ML</t>
  </si>
  <si>
    <t>LISTON DE SAJO</t>
  </si>
  <si>
    <t>8.3.4 DESCAPOTE Y NIVELACION</t>
  </si>
  <si>
    <t>8.3.5 NIVELACION CON MATERIAL DE SITIO</t>
  </si>
  <si>
    <t>8.3.6 LIMPIEZA Y NIVELACION</t>
  </si>
  <si>
    <t>8.4.1 MORTERO 1:2</t>
  </si>
  <si>
    <t>SA</t>
  </si>
  <si>
    <t>LT</t>
  </si>
  <si>
    <t>UNIDAD: M3</t>
  </si>
  <si>
    <t>TOTAL M3</t>
  </si>
  <si>
    <t>8.4.2 MORTERO 1:3</t>
  </si>
  <si>
    <t>8.4.3 MORTERO 1:4</t>
  </si>
  <si>
    <t>8.4.4 CONCRETO 1:2:2</t>
  </si>
  <si>
    <t>HERRAMIENTA MENOR 10%</t>
  </si>
  <si>
    <t>CONCRETADORA DE 1 SACO</t>
  </si>
  <si>
    <t>8.4.5 CONCRETO 1:2:3</t>
  </si>
  <si>
    <t>8.4.6 CONCRETO 1:2:4</t>
  </si>
  <si>
    <t xml:space="preserve">8.5.1 EXCAVACION EN TIERRA A MANO (0-1 M) </t>
  </si>
  <si>
    <t>1 AYUDANTE</t>
  </si>
  <si>
    <t xml:space="preserve">8.5.2 EXCAVACION EN TIERRA A MANO (0-2 M) BAJO AGUA </t>
  </si>
  <si>
    <t>8.5.3 EXCAVACION EN TIERRA A MANO (2-4 M) ENTIBADO</t>
  </si>
  <si>
    <t>ENTIBADO 10% M.O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</si>
</sst>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0" fontId="0" fillId="0" borderId="4" xfId="0" applyBorder="1"/>
    <xf numFmtId="2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0" xfId="0" applyBorder="1"/>
    <xf numFmtId="2" fontId="0" fillId="0" borderId="11" xfId="0" applyNumberFormat="1" applyBorder="1"/>
    <xf numFmtId="0" fontId="1" fillId="0" borderId="12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/>
    <xf numFmtId="2" fontId="0" fillId="2" borderId="1" xfId="0" applyNumberForma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/>
    <xf numFmtId="0" fontId="0" fillId="0" borderId="4" xfId="0" applyBorder="1" applyAlignment="1">
      <alignment horizontal="center"/>
    </xf>
    <xf numFmtId="2" fontId="0" fillId="0" borderId="12" xfId="0" applyNumberFormat="1" applyBorder="1"/>
    <xf numFmtId="0" fontId="0" fillId="0" borderId="0" xfId="0" applyAlignment="1">
      <alignment horizontal="center"/>
    </xf>
    <xf numFmtId="17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Border="1" applyAlignment="1">
      <alignment horizontal="center"/>
    </xf>
    <xf numFmtId="0" fontId="0" fillId="0" borderId="13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9"/>
  <sheetViews>
    <sheetView tabSelected="1" workbookViewId="0">
      <selection activeCell="B46" sqref="B46"/>
    </sheetView>
  </sheetViews>
  <sheetFormatPr baseColWidth="10" defaultRowHeight="15" x14ac:dyDescent="0.25"/>
  <cols>
    <col min="1" max="1" width="43.7109375" customWidth="1"/>
    <col min="2" max="2" width="12.42578125" customWidth="1"/>
    <col min="3" max="3" width="13.140625" customWidth="1"/>
  </cols>
  <sheetData>
    <row r="3" spans="1:3" x14ac:dyDescent="0.25">
      <c r="A3" s="38" t="s">
        <v>110</v>
      </c>
      <c r="B3" s="39"/>
      <c r="C3" s="40"/>
    </row>
    <row r="4" spans="1:3" x14ac:dyDescent="0.25">
      <c r="A4" s="2" t="s">
        <v>15</v>
      </c>
      <c r="B4" s="3">
        <v>828116</v>
      </c>
      <c r="C4" s="12"/>
    </row>
    <row r="5" spans="1:3" x14ac:dyDescent="0.25">
      <c r="A5" s="5" t="s">
        <v>8</v>
      </c>
      <c r="B5" s="6">
        <f>B4/30</f>
        <v>27603.866666666665</v>
      </c>
      <c r="C5" s="7"/>
    </row>
    <row r="6" spans="1:3" x14ac:dyDescent="0.25">
      <c r="A6" s="8"/>
      <c r="B6" s="9"/>
      <c r="C6" s="10"/>
    </row>
    <row r="7" spans="1:3" x14ac:dyDescent="0.25">
      <c r="A7" s="35" t="s">
        <v>6</v>
      </c>
      <c r="B7" s="36"/>
      <c r="C7" s="37"/>
    </row>
    <row r="8" spans="1:3" x14ac:dyDescent="0.25">
      <c r="A8" s="2" t="s">
        <v>0</v>
      </c>
      <c r="B8" s="3">
        <f>B5/8</f>
        <v>3450.4833333333331</v>
      </c>
      <c r="C8" s="4"/>
    </row>
    <row r="9" spans="1:3" x14ac:dyDescent="0.25">
      <c r="A9" s="5" t="s">
        <v>1</v>
      </c>
      <c r="B9" s="6">
        <f>B8*1.35</f>
        <v>4658.1525000000001</v>
      </c>
      <c r="C9" s="7"/>
    </row>
    <row r="10" spans="1:3" x14ac:dyDescent="0.25">
      <c r="A10" s="5"/>
      <c r="B10" s="6"/>
      <c r="C10" s="7"/>
    </row>
    <row r="11" spans="1:3" x14ac:dyDescent="0.25">
      <c r="A11" s="5" t="s">
        <v>13</v>
      </c>
      <c r="B11" s="6">
        <f>B8*1.75</f>
        <v>6038.3458333333328</v>
      </c>
      <c r="C11" s="7"/>
    </row>
    <row r="12" spans="1:3" x14ac:dyDescent="0.25">
      <c r="A12" s="5" t="s">
        <v>14</v>
      </c>
      <c r="B12" s="6">
        <f>B8+B8*0.75+B8*0.35</f>
        <v>7246.0149999999994</v>
      </c>
      <c r="C12" s="7"/>
    </row>
    <row r="13" spans="1:3" x14ac:dyDescent="0.25">
      <c r="A13" s="8"/>
      <c r="B13" s="9"/>
      <c r="C13" s="10"/>
    </row>
    <row r="14" spans="1:3" x14ac:dyDescent="0.25">
      <c r="A14" s="35" t="s">
        <v>5</v>
      </c>
      <c r="B14" s="36"/>
      <c r="C14" s="37"/>
    </row>
    <row r="15" spans="1:3" x14ac:dyDescent="0.25">
      <c r="A15" s="2"/>
      <c r="B15" s="11"/>
      <c r="C15" s="4"/>
    </row>
    <row r="16" spans="1:3" x14ac:dyDescent="0.25">
      <c r="A16" s="5" t="s">
        <v>9</v>
      </c>
      <c r="B16" s="6">
        <f>B8*1.25</f>
        <v>4313.1041666666661</v>
      </c>
      <c r="C16" s="7"/>
    </row>
    <row r="17" spans="1:3" x14ac:dyDescent="0.25">
      <c r="A17" s="5" t="s">
        <v>10</v>
      </c>
      <c r="B17" s="6">
        <f>B8*1.75</f>
        <v>6038.3458333333328</v>
      </c>
      <c r="C17" s="7"/>
    </row>
    <row r="18" spans="1:3" x14ac:dyDescent="0.25">
      <c r="A18" s="5"/>
      <c r="B18" s="6"/>
      <c r="C18" s="7"/>
    </row>
    <row r="19" spans="1:3" x14ac:dyDescent="0.25">
      <c r="A19" s="5" t="s">
        <v>11</v>
      </c>
      <c r="B19" s="6">
        <f>B8+B8*0.75+B8*0.25</f>
        <v>6900.9666666666662</v>
      </c>
      <c r="C19" s="7"/>
    </row>
    <row r="20" spans="1:3" x14ac:dyDescent="0.25">
      <c r="A20" s="5" t="s">
        <v>12</v>
      </c>
      <c r="B20" s="6">
        <f>B8+B8*0.75+B8*0.75</f>
        <v>8626.2083333333321</v>
      </c>
      <c r="C20" s="7"/>
    </row>
    <row r="21" spans="1:3" x14ac:dyDescent="0.25">
      <c r="A21" s="8"/>
      <c r="B21" s="9"/>
      <c r="C21" s="10"/>
    </row>
    <row r="22" spans="1:3" x14ac:dyDescent="0.25">
      <c r="A22" s="35" t="s">
        <v>2</v>
      </c>
      <c r="B22" s="36"/>
      <c r="C22" s="37"/>
    </row>
    <row r="23" spans="1:3" x14ac:dyDescent="0.25">
      <c r="A23" s="2" t="s">
        <v>2</v>
      </c>
      <c r="B23" s="11">
        <v>97032</v>
      </c>
      <c r="C23" s="12" t="s">
        <v>3</v>
      </c>
    </row>
    <row r="24" spans="1:3" x14ac:dyDescent="0.25">
      <c r="A24" s="8" t="s">
        <v>2</v>
      </c>
      <c r="B24" s="14">
        <f>B23/30</f>
        <v>3234.4</v>
      </c>
      <c r="C24" s="15" t="s">
        <v>4</v>
      </c>
    </row>
    <row r="28" spans="1:3" x14ac:dyDescent="0.25">
      <c r="A28" s="38" t="s">
        <v>110</v>
      </c>
      <c r="B28" s="39"/>
      <c r="C28" s="40"/>
    </row>
    <row r="29" spans="1:3" x14ac:dyDescent="0.25">
      <c r="A29" s="2" t="s">
        <v>16</v>
      </c>
      <c r="B29" s="3">
        <v>1700000</v>
      </c>
      <c r="C29" s="12"/>
    </row>
    <row r="30" spans="1:3" x14ac:dyDescent="0.25">
      <c r="A30" s="5" t="s">
        <v>8</v>
      </c>
      <c r="B30" s="6">
        <f>B29/30</f>
        <v>56666.666666666664</v>
      </c>
      <c r="C30" s="7"/>
    </row>
    <row r="31" spans="1:3" x14ac:dyDescent="0.25">
      <c r="A31" s="8"/>
      <c r="B31" s="9"/>
      <c r="C31" s="10"/>
    </row>
    <row r="32" spans="1:3" x14ac:dyDescent="0.25">
      <c r="A32" s="35" t="s">
        <v>6</v>
      </c>
      <c r="B32" s="36"/>
      <c r="C32" s="37"/>
    </row>
    <row r="33" spans="1:3" x14ac:dyDescent="0.25">
      <c r="A33" s="2" t="s">
        <v>0</v>
      </c>
      <c r="B33" s="3">
        <f>B30/8</f>
        <v>7083.333333333333</v>
      </c>
      <c r="C33" s="4"/>
    </row>
    <row r="34" spans="1:3" x14ac:dyDescent="0.25">
      <c r="A34" s="5" t="s">
        <v>1</v>
      </c>
      <c r="B34" s="6">
        <f>B33*1.35</f>
        <v>9562.5</v>
      </c>
      <c r="C34" s="7"/>
    </row>
    <row r="35" spans="1:3" x14ac:dyDescent="0.25">
      <c r="A35" s="5"/>
      <c r="B35" s="6"/>
      <c r="C35" s="7"/>
    </row>
    <row r="36" spans="1:3" x14ac:dyDescent="0.25">
      <c r="A36" s="5" t="s">
        <v>13</v>
      </c>
      <c r="B36" s="6">
        <f>B33*1.75</f>
        <v>12395.833333333332</v>
      </c>
      <c r="C36" s="7"/>
    </row>
    <row r="37" spans="1:3" x14ac:dyDescent="0.25">
      <c r="A37" s="5" t="s">
        <v>14</v>
      </c>
      <c r="B37" s="6">
        <f>B33+B33*0.75+B33*0.35</f>
        <v>14874.999999999998</v>
      </c>
      <c r="C37" s="7"/>
    </row>
    <row r="38" spans="1:3" x14ac:dyDescent="0.25">
      <c r="A38" s="8"/>
      <c r="B38" s="9"/>
      <c r="C38" s="10"/>
    </row>
    <row r="39" spans="1:3" x14ac:dyDescent="0.25">
      <c r="A39" s="35" t="s">
        <v>5</v>
      </c>
      <c r="B39" s="36"/>
      <c r="C39" s="37"/>
    </row>
    <row r="40" spans="1:3" x14ac:dyDescent="0.25">
      <c r="A40" s="2"/>
      <c r="B40" s="11"/>
      <c r="C40" s="4"/>
    </row>
    <row r="41" spans="1:3" x14ac:dyDescent="0.25">
      <c r="A41" s="5" t="s">
        <v>9</v>
      </c>
      <c r="B41" s="6">
        <f>B33*1.25</f>
        <v>8854.1666666666661</v>
      </c>
      <c r="C41" s="7"/>
    </row>
    <row r="42" spans="1:3" x14ac:dyDescent="0.25">
      <c r="A42" s="5" t="s">
        <v>10</v>
      </c>
      <c r="B42" s="6">
        <f>B33*1.75</f>
        <v>12395.833333333332</v>
      </c>
      <c r="C42" s="7"/>
    </row>
    <row r="43" spans="1:3" x14ac:dyDescent="0.25">
      <c r="A43" s="5"/>
      <c r="B43" s="6"/>
      <c r="C43" s="7"/>
    </row>
    <row r="44" spans="1:3" x14ac:dyDescent="0.25">
      <c r="A44" s="5" t="s">
        <v>11</v>
      </c>
      <c r="B44" s="6">
        <f>B33+B33*0.75+B33*0.25</f>
        <v>14166.666666666666</v>
      </c>
      <c r="C44" s="7"/>
    </row>
    <row r="45" spans="1:3" x14ac:dyDescent="0.25">
      <c r="A45" s="5" t="s">
        <v>12</v>
      </c>
      <c r="B45" s="6">
        <f>B33+B33*0.75+B33*0.75</f>
        <v>17708.333333333332</v>
      </c>
      <c r="C45" s="7"/>
    </row>
    <row r="46" spans="1:3" x14ac:dyDescent="0.25">
      <c r="A46" s="8"/>
      <c r="B46" s="9"/>
      <c r="C46" s="10"/>
    </row>
    <row r="47" spans="1:3" x14ac:dyDescent="0.25">
      <c r="A47" s="35" t="s">
        <v>2</v>
      </c>
      <c r="B47" s="36"/>
      <c r="C47" s="37"/>
    </row>
    <row r="48" spans="1:3" x14ac:dyDescent="0.25">
      <c r="A48" s="2" t="s">
        <v>109</v>
      </c>
      <c r="B48" s="3">
        <v>0</v>
      </c>
      <c r="C48" s="12"/>
    </row>
    <row r="49" spans="1:3" x14ac:dyDescent="0.25">
      <c r="A49" s="8" t="s">
        <v>2</v>
      </c>
      <c r="B49" s="14">
        <v>0</v>
      </c>
      <c r="C49" s="15"/>
    </row>
  </sheetData>
  <mergeCells count="8">
    <mergeCell ref="A47:C47"/>
    <mergeCell ref="A7:C7"/>
    <mergeCell ref="A14:C14"/>
    <mergeCell ref="A3:C3"/>
    <mergeCell ref="A22:C22"/>
    <mergeCell ref="A28:C28"/>
    <mergeCell ref="A32:C32"/>
    <mergeCell ref="A39:C3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opLeftCell="A2" workbookViewId="0">
      <selection activeCell="C35" sqref="C35"/>
    </sheetView>
  </sheetViews>
  <sheetFormatPr baseColWidth="10" defaultRowHeight="15" x14ac:dyDescent="0.25"/>
  <cols>
    <col min="1" max="1" width="33.28515625" customWidth="1"/>
    <col min="2" max="2" width="13" customWidth="1"/>
    <col min="3" max="3" width="12.42578125" customWidth="1"/>
    <col min="4" max="4" width="13.5703125" customWidth="1"/>
  </cols>
  <sheetData>
    <row r="2" spans="1:4" ht="18.75" customHeight="1" x14ac:dyDescent="0.25">
      <c r="A2" s="41" t="s">
        <v>111</v>
      </c>
      <c r="B2" s="41"/>
      <c r="C2" s="41"/>
      <c r="D2" s="41"/>
    </row>
    <row r="3" spans="1:4" ht="22.5" customHeight="1" x14ac:dyDescent="0.25">
      <c r="A3" s="17" t="s">
        <v>17</v>
      </c>
      <c r="B3" s="17" t="s">
        <v>3</v>
      </c>
      <c r="C3" s="17" t="s">
        <v>4</v>
      </c>
      <c r="D3" s="17" t="s">
        <v>18</v>
      </c>
    </row>
    <row r="4" spans="1:4" x14ac:dyDescent="0.25">
      <c r="A4" s="16" t="s">
        <v>7</v>
      </c>
      <c r="B4" s="18">
        <f>SALARIOS!B4</f>
        <v>828116</v>
      </c>
      <c r="C4" s="18">
        <f>SALARIOS!B5</f>
        <v>27603.866666666665</v>
      </c>
      <c r="D4" s="16">
        <v>0</v>
      </c>
    </row>
    <row r="5" spans="1:4" x14ac:dyDescent="0.25">
      <c r="A5" s="16" t="s">
        <v>2</v>
      </c>
      <c r="B5" s="18">
        <f>SALARIOS!B23</f>
        <v>97032</v>
      </c>
      <c r="C5" s="18">
        <f>SALARIOS!B24</f>
        <v>3234.4</v>
      </c>
      <c r="D5" s="18">
        <f>C5/C4*100</f>
        <v>11.717199039748055</v>
      </c>
    </row>
    <row r="6" spans="1:4" x14ac:dyDescent="0.25">
      <c r="A6" s="16" t="s">
        <v>19</v>
      </c>
      <c r="B6" s="18">
        <f>(B4+B5)/12</f>
        <v>77095.666666666672</v>
      </c>
      <c r="C6" s="18">
        <f>B6/30</f>
        <v>2569.8555555555558</v>
      </c>
      <c r="D6" s="18">
        <f>C6/C4*100</f>
        <v>9.3097665866456722</v>
      </c>
    </row>
    <row r="7" spans="1:4" x14ac:dyDescent="0.25">
      <c r="A7" s="16" t="s">
        <v>20</v>
      </c>
      <c r="B7" s="18">
        <f>B6</f>
        <v>77095.666666666672</v>
      </c>
      <c r="C7" s="18">
        <f>C6</f>
        <v>2569.8555555555558</v>
      </c>
      <c r="D7" s="18">
        <f>D6</f>
        <v>9.3097665866456722</v>
      </c>
    </row>
    <row r="8" spans="1:4" x14ac:dyDescent="0.25">
      <c r="A8" s="16" t="s">
        <v>21</v>
      </c>
      <c r="B8" s="18">
        <f>B4/24</f>
        <v>34504.833333333336</v>
      </c>
      <c r="C8" s="18">
        <f t="shared" ref="C8:C16" si="0">B8/30</f>
        <v>1150.1611111111113</v>
      </c>
      <c r="D8" s="18">
        <f>B8/B4*100</f>
        <v>4.166666666666667</v>
      </c>
    </row>
    <row r="9" spans="1:4" x14ac:dyDescent="0.25">
      <c r="A9" s="16" t="s">
        <v>22</v>
      </c>
      <c r="B9" s="16">
        <f>B6*0.12</f>
        <v>9251.48</v>
      </c>
      <c r="C9" s="18">
        <f t="shared" si="0"/>
        <v>308.38266666666664</v>
      </c>
      <c r="D9" s="18">
        <f>B9/B4*100</f>
        <v>1.1171719903974804</v>
      </c>
    </row>
    <row r="10" spans="1:4" x14ac:dyDescent="0.25">
      <c r="A10" s="16" t="s">
        <v>23</v>
      </c>
      <c r="B10" s="16">
        <f>B4*0.04</f>
        <v>33124.639999999999</v>
      </c>
      <c r="C10" s="18">
        <f t="shared" si="0"/>
        <v>1104.1546666666666</v>
      </c>
      <c r="D10" s="18">
        <f>B10/B4*100</f>
        <v>4</v>
      </c>
    </row>
    <row r="11" spans="1:4" x14ac:dyDescent="0.25">
      <c r="A11" s="16" t="s">
        <v>24</v>
      </c>
      <c r="B11" s="16">
        <f>B4*0.02</f>
        <v>16562.32</v>
      </c>
      <c r="C11" s="18">
        <f t="shared" si="0"/>
        <v>552.07733333333329</v>
      </c>
      <c r="D11" s="18">
        <f>B11/B4*100</f>
        <v>2</v>
      </c>
    </row>
    <row r="12" spans="1:4" x14ac:dyDescent="0.25">
      <c r="A12" s="16" t="s">
        <v>25</v>
      </c>
      <c r="B12" s="16">
        <f>B4*0.03</f>
        <v>24843.48</v>
      </c>
      <c r="C12" s="18">
        <f t="shared" si="0"/>
        <v>828.11599999999999</v>
      </c>
      <c r="D12" s="18">
        <f>B12/B4*100</f>
        <v>3</v>
      </c>
    </row>
    <row r="13" spans="1:4" x14ac:dyDescent="0.25">
      <c r="A13" s="16" t="s">
        <v>26</v>
      </c>
      <c r="B13" s="16">
        <f>B4*0.125</f>
        <v>103514.5</v>
      </c>
      <c r="C13" s="18">
        <f t="shared" si="0"/>
        <v>3450.4833333333331</v>
      </c>
      <c r="D13" s="18">
        <f>B13/B4*100</f>
        <v>12.5</v>
      </c>
    </row>
    <row r="14" spans="1:4" x14ac:dyDescent="0.25">
      <c r="A14" s="16" t="s">
        <v>27</v>
      </c>
      <c r="B14" s="18">
        <f>B4*0.16</f>
        <v>132498.56</v>
      </c>
      <c r="C14" s="18">
        <f t="shared" si="0"/>
        <v>4416.6186666666663</v>
      </c>
      <c r="D14" s="18">
        <f>B14/B4*100</f>
        <v>16</v>
      </c>
    </row>
    <row r="15" spans="1:4" x14ac:dyDescent="0.25">
      <c r="A15" s="16" t="s">
        <v>28</v>
      </c>
      <c r="B15" s="18">
        <f>B4*0.0696</f>
        <v>57636.873599999999</v>
      </c>
      <c r="C15" s="18">
        <f t="shared" si="0"/>
        <v>1921.22912</v>
      </c>
      <c r="D15" s="16">
        <f>B15/B4*100</f>
        <v>6.9599999999999991</v>
      </c>
    </row>
    <row r="16" spans="1:4" x14ac:dyDescent="0.25">
      <c r="A16" s="16" t="s">
        <v>29</v>
      </c>
      <c r="B16" s="16">
        <f>B4*0.01</f>
        <v>8281.16</v>
      </c>
      <c r="C16" s="18">
        <f t="shared" si="0"/>
        <v>276.03866666666664</v>
      </c>
      <c r="D16" s="18">
        <f>B16/B4*100</f>
        <v>1</v>
      </c>
    </row>
    <row r="17" spans="1:4" ht="21.75" customHeight="1" x14ac:dyDescent="0.25">
      <c r="A17" s="17" t="s">
        <v>30</v>
      </c>
      <c r="B17" s="19">
        <f>B4+B5+B6+B7+B8+B9+B10+B11+B12+B14+B13+B15+B16</f>
        <v>1499557.1802666665</v>
      </c>
      <c r="C17" s="19">
        <f>C4+C5+C6+C7+C8+C9+C10+C11+C12+C14+C13+C15+C16</f>
        <v>49985.23934222223</v>
      </c>
      <c r="D17" s="19">
        <f>D4+D5+D6+D7+D8+D9+D10+D11+D12+D14+D13+D15+D16</f>
        <v>81.080570870103529</v>
      </c>
    </row>
    <row r="18" spans="1:4" ht="21.75" customHeight="1" x14ac:dyDescent="0.25"/>
    <row r="19" spans="1:4" ht="20.25" customHeight="1" x14ac:dyDescent="0.25">
      <c r="A19" s="41" t="s">
        <v>112</v>
      </c>
      <c r="B19" s="41"/>
      <c r="C19" s="41"/>
      <c r="D19" s="41"/>
    </row>
    <row r="20" spans="1:4" ht="19.5" customHeight="1" x14ac:dyDescent="0.25">
      <c r="A20" s="17" t="s">
        <v>17</v>
      </c>
      <c r="B20" s="17" t="s">
        <v>3</v>
      </c>
      <c r="C20" s="17" t="s">
        <v>4</v>
      </c>
      <c r="D20" s="17" t="s">
        <v>18</v>
      </c>
    </row>
    <row r="21" spans="1:4" x14ac:dyDescent="0.25">
      <c r="A21" s="16" t="s">
        <v>31</v>
      </c>
      <c r="B21" s="18">
        <f>SALARIOS!B29</f>
        <v>1700000</v>
      </c>
      <c r="C21" s="18">
        <f>B21/30</f>
        <v>56666.666666666664</v>
      </c>
      <c r="D21" s="18">
        <v>0</v>
      </c>
    </row>
    <row r="22" spans="1:4" x14ac:dyDescent="0.25">
      <c r="A22" s="16" t="s">
        <v>2</v>
      </c>
      <c r="B22" s="18">
        <v>0</v>
      </c>
      <c r="C22" s="18">
        <v>0</v>
      </c>
      <c r="D22" s="18">
        <v>0</v>
      </c>
    </row>
    <row r="23" spans="1:4" x14ac:dyDescent="0.25">
      <c r="A23" s="16" t="s">
        <v>19</v>
      </c>
      <c r="B23" s="18">
        <f>(B21+B22)/12</f>
        <v>141666.66666666666</v>
      </c>
      <c r="C23" s="18">
        <f>B23/30</f>
        <v>4722.2222222222217</v>
      </c>
      <c r="D23" s="18">
        <f>C23/C21*100</f>
        <v>8.3333333333333321</v>
      </c>
    </row>
    <row r="24" spans="1:4" x14ac:dyDescent="0.25">
      <c r="A24" s="16" t="s">
        <v>20</v>
      </c>
      <c r="B24" s="18">
        <f>B23</f>
        <v>141666.66666666666</v>
      </c>
      <c r="C24" s="18">
        <f>C23</f>
        <v>4722.2222222222217</v>
      </c>
      <c r="D24" s="18">
        <f>D23</f>
        <v>8.3333333333333321</v>
      </c>
    </row>
    <row r="25" spans="1:4" x14ac:dyDescent="0.25">
      <c r="A25" s="16" t="s">
        <v>21</v>
      </c>
      <c r="B25" s="18">
        <f>B21/24</f>
        <v>70833.333333333328</v>
      </c>
      <c r="C25" s="18">
        <f t="shared" ref="C25:C33" si="1">B25/30</f>
        <v>2361.1111111111109</v>
      </c>
      <c r="D25" s="18">
        <f>B25/B21*100</f>
        <v>4.1666666666666661</v>
      </c>
    </row>
    <row r="26" spans="1:4" x14ac:dyDescent="0.25">
      <c r="A26" s="16" t="s">
        <v>22</v>
      </c>
      <c r="B26" s="18">
        <f>B23*0.12</f>
        <v>17000</v>
      </c>
      <c r="C26" s="18">
        <f t="shared" si="1"/>
        <v>566.66666666666663</v>
      </c>
      <c r="D26" s="18">
        <f>B26/B21*100</f>
        <v>1</v>
      </c>
    </row>
    <row r="27" spans="1:4" x14ac:dyDescent="0.25">
      <c r="A27" s="16" t="s">
        <v>23</v>
      </c>
      <c r="B27" s="18">
        <f>B21*0.04</f>
        <v>68000</v>
      </c>
      <c r="C27" s="18">
        <f t="shared" si="1"/>
        <v>2266.6666666666665</v>
      </c>
      <c r="D27" s="18">
        <f>B27/B21*100</f>
        <v>4</v>
      </c>
    </row>
    <row r="28" spans="1:4" x14ac:dyDescent="0.25">
      <c r="A28" s="16" t="s">
        <v>24</v>
      </c>
      <c r="B28" s="18">
        <f>B21*0.02</f>
        <v>34000</v>
      </c>
      <c r="C28" s="18">
        <f t="shared" si="1"/>
        <v>1133.3333333333333</v>
      </c>
      <c r="D28" s="18">
        <f>B28/B21*100</f>
        <v>2</v>
      </c>
    </row>
    <row r="29" spans="1:4" x14ac:dyDescent="0.25">
      <c r="A29" s="16" t="s">
        <v>25</v>
      </c>
      <c r="B29" s="18">
        <f>B21*0.03</f>
        <v>51000</v>
      </c>
      <c r="C29" s="18">
        <f t="shared" si="1"/>
        <v>1700</v>
      </c>
      <c r="D29" s="18">
        <f>B29/B21*100</f>
        <v>3</v>
      </c>
    </row>
    <row r="30" spans="1:4" x14ac:dyDescent="0.25">
      <c r="A30" s="16" t="s">
        <v>26</v>
      </c>
      <c r="B30" s="18">
        <f>B21*0.125</f>
        <v>212500</v>
      </c>
      <c r="C30" s="18">
        <f t="shared" si="1"/>
        <v>7083.333333333333</v>
      </c>
      <c r="D30" s="18">
        <f>B30/B21*100</f>
        <v>12.5</v>
      </c>
    </row>
    <row r="31" spans="1:4" x14ac:dyDescent="0.25">
      <c r="A31" s="16" t="s">
        <v>27</v>
      </c>
      <c r="B31" s="18">
        <f>B21*0.16</f>
        <v>272000</v>
      </c>
      <c r="C31" s="18">
        <f t="shared" si="1"/>
        <v>9066.6666666666661</v>
      </c>
      <c r="D31" s="18">
        <f>B31/B21*100</f>
        <v>16</v>
      </c>
    </row>
    <row r="32" spans="1:4" x14ac:dyDescent="0.25">
      <c r="A32" s="16" t="s">
        <v>28</v>
      </c>
      <c r="B32" s="18">
        <f>B21*0.0696</f>
        <v>118319.99999999999</v>
      </c>
      <c r="C32" s="18">
        <f t="shared" si="1"/>
        <v>3943.9999999999995</v>
      </c>
      <c r="D32" s="16">
        <f>B32/B21*100</f>
        <v>6.9599999999999991</v>
      </c>
    </row>
    <row r="33" spans="1:4" x14ac:dyDescent="0.25">
      <c r="A33" s="16" t="s">
        <v>29</v>
      </c>
      <c r="B33" s="18">
        <f>B21*0.01</f>
        <v>17000</v>
      </c>
      <c r="C33" s="18">
        <f t="shared" si="1"/>
        <v>566.66666666666663</v>
      </c>
      <c r="D33" s="18">
        <f>B33/B21*100</f>
        <v>1</v>
      </c>
    </row>
    <row r="34" spans="1:4" x14ac:dyDescent="0.25">
      <c r="A34" s="16"/>
      <c r="B34" s="16"/>
      <c r="C34" s="16"/>
      <c r="D34" s="16"/>
    </row>
    <row r="35" spans="1:4" x14ac:dyDescent="0.25">
      <c r="A35" s="17" t="s">
        <v>30</v>
      </c>
      <c r="B35" s="19">
        <f>B21+B22+B23+B24+B25+B26+B27+B28+B29+B31+B30+B32+B33</f>
        <v>2843986.666666667</v>
      </c>
      <c r="C35" s="19">
        <f>C21+C22+C23+C24+C25+C26+C27+C28+C29+C31+C30+C32+C33</f>
        <v>94799.555555555562</v>
      </c>
      <c r="D35" s="19">
        <f>D21+D22+D23+D24+D25+D26+D27+D28+D29+D31+D30+D32+D33</f>
        <v>67.293333333333322</v>
      </c>
    </row>
  </sheetData>
  <mergeCells count="2">
    <mergeCell ref="A2:D2"/>
    <mergeCell ref="A19:D19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C6" sqref="C6"/>
    </sheetView>
  </sheetViews>
  <sheetFormatPr baseColWidth="10" defaultRowHeight="15" x14ac:dyDescent="0.25"/>
  <cols>
    <col min="1" max="1" width="22.42578125" customWidth="1"/>
    <col min="2" max="2" width="14.28515625" customWidth="1"/>
  </cols>
  <sheetData>
    <row r="3" spans="1:3" x14ac:dyDescent="0.25">
      <c r="A3" s="42" t="s">
        <v>113</v>
      </c>
      <c r="B3" s="42"/>
    </row>
    <row r="5" spans="1:3" x14ac:dyDescent="0.25">
      <c r="A5" t="s">
        <v>32</v>
      </c>
      <c r="B5" s="1">
        <f>'JORNAL REAL'!C17</f>
        <v>49985.23934222223</v>
      </c>
      <c r="C5">
        <f>B5*4</f>
        <v>199940.95736888892</v>
      </c>
    </row>
    <row r="6" spans="1:3" x14ac:dyDescent="0.25">
      <c r="A6" t="s">
        <v>33</v>
      </c>
      <c r="B6" s="1">
        <f>B5*2</f>
        <v>99970.478684444461</v>
      </c>
    </row>
    <row r="7" spans="1:3" x14ac:dyDescent="0.25">
      <c r="A7" t="s">
        <v>34</v>
      </c>
      <c r="B7" s="1">
        <f>B5*3</f>
        <v>149955.7180266667</v>
      </c>
    </row>
    <row r="9" spans="1:3" x14ac:dyDescent="0.25">
      <c r="A9" t="s">
        <v>35</v>
      </c>
      <c r="B9" s="1">
        <f>'JORNAL REAL'!C35</f>
        <v>94799.555555555562</v>
      </c>
    </row>
    <row r="10" spans="1:3" x14ac:dyDescent="0.25">
      <c r="A10" t="s">
        <v>36</v>
      </c>
      <c r="B10" s="1">
        <f>B5+B9</f>
        <v>144784.79489777779</v>
      </c>
    </row>
    <row r="11" spans="1:3" x14ac:dyDescent="0.25">
      <c r="A11" t="s">
        <v>37</v>
      </c>
      <c r="B11" s="1">
        <f>B9+B5+B5</f>
        <v>194770.03424000001</v>
      </c>
    </row>
    <row r="12" spans="1:3" x14ac:dyDescent="0.25">
      <c r="A12" t="s">
        <v>38</v>
      </c>
      <c r="B12" s="1">
        <f>B9+B5+B5+B5</f>
        <v>244755.27358222223</v>
      </c>
    </row>
    <row r="13" spans="1:3" x14ac:dyDescent="0.25">
      <c r="A13" t="s">
        <v>39</v>
      </c>
      <c r="B13" s="1">
        <f>B9+B5+B5+B5+B5</f>
        <v>294740.51292444445</v>
      </c>
    </row>
    <row r="14" spans="1:3" x14ac:dyDescent="0.25">
      <c r="A14" t="s">
        <v>40</v>
      </c>
      <c r="B14" s="1">
        <f>B9+B5+B5+B5+B5+B5</f>
        <v>344725.75226666668</v>
      </c>
    </row>
    <row r="15" spans="1:3" x14ac:dyDescent="0.25">
      <c r="A15" t="s">
        <v>41</v>
      </c>
      <c r="B15" s="1">
        <f>B9+B5+B5+B5+B5+B5+B5</f>
        <v>394710.9916088889</v>
      </c>
    </row>
    <row r="16" spans="1:3" x14ac:dyDescent="0.25">
      <c r="A16" t="s">
        <v>42</v>
      </c>
      <c r="B16" s="1">
        <f>B9+B5+B5+B5+B5+B5+B5+B5</f>
        <v>444696.23095111112</v>
      </c>
    </row>
  </sheetData>
  <mergeCells count="1">
    <mergeCell ref="A3:B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4"/>
  <sheetViews>
    <sheetView topLeftCell="A40" workbookViewId="0">
      <selection activeCell="E11" sqref="E11"/>
    </sheetView>
  </sheetViews>
  <sheetFormatPr baseColWidth="10" defaultRowHeight="15" x14ac:dyDescent="0.25"/>
  <cols>
    <col min="1" max="1" width="33" customWidth="1"/>
    <col min="2" max="3" width="14.42578125" customWidth="1"/>
    <col min="4" max="4" width="15.5703125" customWidth="1"/>
  </cols>
  <sheetData>
    <row r="2" spans="1:4" ht="18.75" customHeight="1" x14ac:dyDescent="0.25">
      <c r="A2" s="38" t="s">
        <v>43</v>
      </c>
      <c r="B2" s="39"/>
      <c r="C2" s="39"/>
      <c r="D2" s="40"/>
    </row>
    <row r="3" spans="1:4" x14ac:dyDescent="0.25">
      <c r="A3" s="2"/>
      <c r="B3" s="20" t="s">
        <v>46</v>
      </c>
      <c r="C3" s="20" t="s">
        <v>45</v>
      </c>
      <c r="D3" s="21" t="s">
        <v>47</v>
      </c>
    </row>
    <row r="4" spans="1:4" x14ac:dyDescent="0.25">
      <c r="A4" s="5" t="s">
        <v>44</v>
      </c>
      <c r="B4" s="6">
        <f>'JORNAL REAL'!C4</f>
        <v>27603.866666666665</v>
      </c>
      <c r="C4" s="6">
        <v>7</v>
      </c>
      <c r="D4" s="22">
        <f>B4*C4</f>
        <v>193227.06666666665</v>
      </c>
    </row>
    <row r="5" spans="1:4" x14ac:dyDescent="0.25">
      <c r="A5" s="5" t="s">
        <v>2</v>
      </c>
      <c r="B5" s="6">
        <f>SALARIOS!B24</f>
        <v>3234.4</v>
      </c>
      <c r="C5" s="6">
        <v>7</v>
      </c>
      <c r="D5" s="22">
        <f>B5*C5</f>
        <v>22640.799999999999</v>
      </c>
    </row>
    <row r="6" spans="1:4" x14ac:dyDescent="0.25">
      <c r="A6" s="23" t="s">
        <v>48</v>
      </c>
      <c r="B6" s="13"/>
      <c r="C6" s="13"/>
      <c r="D6" s="22">
        <f>D4+D5</f>
        <v>215867.86666666664</v>
      </c>
    </row>
    <row r="7" spans="1:4" x14ac:dyDescent="0.25">
      <c r="A7" s="5"/>
      <c r="B7" s="13"/>
      <c r="C7" s="13"/>
      <c r="D7" s="7"/>
    </row>
    <row r="8" spans="1:4" x14ac:dyDescent="0.25">
      <c r="A8" s="5" t="s">
        <v>49</v>
      </c>
      <c r="B8" s="6">
        <f>'JORNAL REAL'!C17</f>
        <v>49985.23934222223</v>
      </c>
      <c r="C8" s="6">
        <v>7</v>
      </c>
      <c r="D8" s="22">
        <f>B8*C8</f>
        <v>349896.67539555562</v>
      </c>
    </row>
    <row r="9" spans="1:4" x14ac:dyDescent="0.25">
      <c r="A9" s="5"/>
      <c r="B9" s="13"/>
      <c r="C9" s="13"/>
      <c r="D9" s="7"/>
    </row>
    <row r="10" spans="1:4" x14ac:dyDescent="0.25">
      <c r="A10" s="8" t="s">
        <v>50</v>
      </c>
      <c r="B10" s="9"/>
      <c r="C10" s="9"/>
      <c r="D10" s="24">
        <f>D8-D6</f>
        <v>134028.80872888898</v>
      </c>
    </row>
    <row r="14" spans="1:4" ht="18.75" customHeight="1" x14ac:dyDescent="0.25">
      <c r="A14" s="38" t="s">
        <v>51</v>
      </c>
      <c r="B14" s="39"/>
      <c r="C14" s="39"/>
      <c r="D14" s="40"/>
    </row>
    <row r="15" spans="1:4" x14ac:dyDescent="0.25">
      <c r="A15" s="2"/>
      <c r="B15" s="20" t="s">
        <v>46</v>
      </c>
      <c r="C15" s="20" t="s">
        <v>45</v>
      </c>
      <c r="D15" s="21" t="s">
        <v>47</v>
      </c>
    </row>
    <row r="16" spans="1:4" x14ac:dyDescent="0.25">
      <c r="A16" s="5" t="s">
        <v>44</v>
      </c>
      <c r="B16" s="6">
        <f>'JORNAL REAL'!C4</f>
        <v>27603.866666666665</v>
      </c>
      <c r="C16" s="6">
        <v>7</v>
      </c>
      <c r="D16" s="22">
        <f>B16*C16</f>
        <v>193227.06666666665</v>
      </c>
    </row>
    <row r="17" spans="1:4" x14ac:dyDescent="0.25">
      <c r="A17" s="5" t="s">
        <v>2</v>
      </c>
      <c r="B17" s="6">
        <f>SALARIOS!B24</f>
        <v>3234.4</v>
      </c>
      <c r="C17" s="6">
        <v>7</v>
      </c>
      <c r="D17" s="22">
        <f>B17*C17</f>
        <v>22640.799999999999</v>
      </c>
    </row>
    <row r="18" spans="1:4" x14ac:dyDescent="0.25">
      <c r="A18" s="5" t="s">
        <v>52</v>
      </c>
      <c r="B18" s="6">
        <f>SALARIOS!B16</f>
        <v>4313.1041666666661</v>
      </c>
      <c r="C18" s="6">
        <v>6</v>
      </c>
      <c r="D18" s="22">
        <f>B18*C18</f>
        <v>25878.624999999996</v>
      </c>
    </row>
    <row r="19" spans="1:4" x14ac:dyDescent="0.25">
      <c r="A19" s="23" t="s">
        <v>48</v>
      </c>
      <c r="B19" s="13"/>
      <c r="C19" s="13"/>
      <c r="D19" s="22">
        <f>D16+D17+D18</f>
        <v>241746.49166666664</v>
      </c>
    </row>
    <row r="20" spans="1:4" x14ac:dyDescent="0.25">
      <c r="A20" s="5"/>
      <c r="B20" s="13"/>
      <c r="C20" s="13"/>
      <c r="D20" s="7"/>
    </row>
    <row r="21" spans="1:4" x14ac:dyDescent="0.25">
      <c r="A21" s="5" t="s">
        <v>49</v>
      </c>
      <c r="B21" s="6">
        <f>'JORNAL REAL'!C17</f>
        <v>49985.23934222223</v>
      </c>
      <c r="C21" s="6">
        <v>7</v>
      </c>
      <c r="D21" s="22">
        <f>B21*C21</f>
        <v>349896.67539555562</v>
      </c>
    </row>
    <row r="22" spans="1:4" x14ac:dyDescent="0.25">
      <c r="A22" s="5" t="s">
        <v>52</v>
      </c>
      <c r="B22" s="6">
        <f>SALARIOS!B16</f>
        <v>4313.1041666666661</v>
      </c>
      <c r="C22" s="6">
        <v>6</v>
      </c>
      <c r="D22" s="22">
        <f>B22*C22</f>
        <v>25878.624999999996</v>
      </c>
    </row>
    <row r="23" spans="1:4" x14ac:dyDescent="0.25">
      <c r="A23" s="5" t="s">
        <v>53</v>
      </c>
      <c r="B23" s="6"/>
      <c r="C23" s="6"/>
      <c r="D23" s="22">
        <f>D21+D22</f>
        <v>375775.30039555562</v>
      </c>
    </row>
    <row r="24" spans="1:4" x14ac:dyDescent="0.25">
      <c r="A24" s="5"/>
      <c r="B24" s="13"/>
      <c r="C24" s="13"/>
      <c r="D24" s="7"/>
    </row>
    <row r="25" spans="1:4" x14ac:dyDescent="0.25">
      <c r="A25" s="8" t="s">
        <v>50</v>
      </c>
      <c r="B25" s="9"/>
      <c r="C25" s="9"/>
      <c r="D25" s="24">
        <f>D23-D19</f>
        <v>134028.80872888898</v>
      </c>
    </row>
    <row r="29" spans="1:4" ht="21" customHeight="1" x14ac:dyDescent="0.25">
      <c r="A29" s="38" t="s">
        <v>54</v>
      </c>
      <c r="B29" s="39"/>
      <c r="C29" s="39"/>
      <c r="D29" s="40"/>
    </row>
    <row r="30" spans="1:4" x14ac:dyDescent="0.25">
      <c r="A30" s="2"/>
      <c r="B30" s="20" t="s">
        <v>46</v>
      </c>
      <c r="C30" s="20" t="s">
        <v>45</v>
      </c>
      <c r="D30" s="21" t="s">
        <v>47</v>
      </c>
    </row>
    <row r="31" spans="1:4" x14ac:dyDescent="0.25">
      <c r="A31" s="5" t="s">
        <v>44</v>
      </c>
      <c r="B31" s="6">
        <f>SALARIOS!B5</f>
        <v>27603.866666666665</v>
      </c>
      <c r="C31" s="6">
        <v>4</v>
      </c>
      <c r="D31" s="22">
        <f>B31*C31</f>
        <v>110415.46666666666</v>
      </c>
    </row>
    <row r="32" spans="1:4" x14ac:dyDescent="0.25">
      <c r="A32" s="5" t="s">
        <v>2</v>
      </c>
      <c r="B32" s="6">
        <f>SALARIOS!B24</f>
        <v>3234.4</v>
      </c>
      <c r="C32" s="6">
        <v>4</v>
      </c>
      <c r="D32" s="22">
        <f>B32*C32</f>
        <v>12937.6</v>
      </c>
    </row>
    <row r="33" spans="1:4" x14ac:dyDescent="0.25">
      <c r="A33" s="23" t="s">
        <v>48</v>
      </c>
      <c r="B33" s="13"/>
      <c r="C33" s="13"/>
      <c r="D33" s="22">
        <f>D31+D32</f>
        <v>123353.06666666667</v>
      </c>
    </row>
    <row r="34" spans="1:4" x14ac:dyDescent="0.25">
      <c r="A34" s="5"/>
      <c r="B34" s="13"/>
      <c r="C34" s="13"/>
      <c r="D34" s="7"/>
    </row>
    <row r="35" spans="1:4" x14ac:dyDescent="0.25">
      <c r="A35" s="5" t="s">
        <v>49</v>
      </c>
      <c r="B35" s="6">
        <f>B21</f>
        <v>49985.23934222223</v>
      </c>
      <c r="C35" s="6">
        <v>4</v>
      </c>
      <c r="D35" s="22">
        <f>B35*C35</f>
        <v>199940.95736888892</v>
      </c>
    </row>
    <row r="36" spans="1:4" x14ac:dyDescent="0.25">
      <c r="A36" s="5" t="s">
        <v>53</v>
      </c>
      <c r="B36" s="6"/>
      <c r="C36" s="6"/>
      <c r="D36" s="22">
        <f>D35</f>
        <v>199940.95736888892</v>
      </c>
    </row>
    <row r="37" spans="1:4" x14ac:dyDescent="0.25">
      <c r="A37" s="5"/>
      <c r="B37" s="13"/>
      <c r="C37" s="13"/>
      <c r="D37" s="7"/>
    </row>
    <row r="38" spans="1:4" x14ac:dyDescent="0.25">
      <c r="A38" s="8" t="s">
        <v>50</v>
      </c>
      <c r="B38" s="9"/>
      <c r="C38" s="9"/>
      <c r="D38" s="24">
        <f>D36-D33</f>
        <v>76587.890702222256</v>
      </c>
    </row>
    <row r="42" spans="1:4" ht="19.5" customHeight="1" x14ac:dyDescent="0.25">
      <c r="A42" s="38" t="s">
        <v>55</v>
      </c>
      <c r="B42" s="39"/>
      <c r="C42" s="39"/>
      <c r="D42" s="40"/>
    </row>
    <row r="43" spans="1:4" x14ac:dyDescent="0.25">
      <c r="A43" s="2"/>
      <c r="B43" s="20" t="s">
        <v>46</v>
      </c>
      <c r="C43" s="20" t="s">
        <v>45</v>
      </c>
      <c r="D43" s="21" t="s">
        <v>47</v>
      </c>
    </row>
    <row r="44" spans="1:4" x14ac:dyDescent="0.25">
      <c r="A44" s="5" t="s">
        <v>56</v>
      </c>
      <c r="B44" s="6">
        <f>SALARIOS!B30</f>
        <v>56666.666666666664</v>
      </c>
      <c r="C44" s="6">
        <v>7</v>
      </c>
      <c r="D44" s="22">
        <f>B44*C44</f>
        <v>396666.66666666663</v>
      </c>
    </row>
    <row r="45" spans="1:4" x14ac:dyDescent="0.25">
      <c r="A45" s="5" t="s">
        <v>2</v>
      </c>
      <c r="B45" s="6">
        <f>SALARIOS!B52</f>
        <v>0</v>
      </c>
      <c r="C45" s="6">
        <v>7</v>
      </c>
      <c r="D45" s="22">
        <f>B45*C45</f>
        <v>0</v>
      </c>
    </row>
    <row r="46" spans="1:4" x14ac:dyDescent="0.25">
      <c r="A46" s="23" t="s">
        <v>48</v>
      </c>
      <c r="B46" s="13"/>
      <c r="C46" s="13"/>
      <c r="D46" s="22">
        <f>D44+D45</f>
        <v>396666.66666666663</v>
      </c>
    </row>
    <row r="47" spans="1:4" x14ac:dyDescent="0.25">
      <c r="A47" s="5"/>
      <c r="B47" s="13"/>
      <c r="C47" s="13"/>
      <c r="D47" s="7"/>
    </row>
    <row r="48" spans="1:4" x14ac:dyDescent="0.25">
      <c r="A48" s="5" t="s">
        <v>49</v>
      </c>
      <c r="B48" s="6">
        <f>'JORNAL REAL'!C35</f>
        <v>94799.555555555562</v>
      </c>
      <c r="C48" s="6">
        <v>7</v>
      </c>
      <c r="D48" s="22">
        <f>B48*C48</f>
        <v>663596.88888888899</v>
      </c>
    </row>
    <row r="49" spans="1:4" x14ac:dyDescent="0.25">
      <c r="A49" s="5"/>
      <c r="B49" s="6"/>
      <c r="C49" s="6"/>
      <c r="D49" s="22"/>
    </row>
    <row r="50" spans="1:4" x14ac:dyDescent="0.25">
      <c r="A50" s="5" t="s">
        <v>53</v>
      </c>
      <c r="B50" s="6"/>
      <c r="C50" s="6"/>
      <c r="D50" s="22">
        <f>D48+D49</f>
        <v>663596.88888888899</v>
      </c>
    </row>
    <row r="51" spans="1:4" x14ac:dyDescent="0.25">
      <c r="A51" s="5"/>
      <c r="B51" s="13"/>
      <c r="C51" s="13"/>
      <c r="D51" s="7"/>
    </row>
    <row r="52" spans="1:4" x14ac:dyDescent="0.25">
      <c r="A52" s="8" t="s">
        <v>50</v>
      </c>
      <c r="B52" s="9"/>
      <c r="C52" s="9"/>
      <c r="D52" s="24">
        <f>D50-D46</f>
        <v>266930.22222222236</v>
      </c>
    </row>
    <row r="56" spans="1:4" ht="19.5" customHeight="1" x14ac:dyDescent="0.25">
      <c r="A56" s="38" t="s">
        <v>57</v>
      </c>
      <c r="B56" s="39"/>
      <c r="C56" s="39"/>
      <c r="D56" s="40"/>
    </row>
    <row r="57" spans="1:4" x14ac:dyDescent="0.25">
      <c r="A57" s="2"/>
      <c r="B57" s="20" t="s">
        <v>46</v>
      </c>
      <c r="C57" s="20" t="s">
        <v>45</v>
      </c>
      <c r="D57" s="21" t="s">
        <v>47</v>
      </c>
    </row>
    <row r="58" spans="1:4" x14ac:dyDescent="0.25">
      <c r="A58" s="5" t="s">
        <v>56</v>
      </c>
      <c r="B58" s="6">
        <f>SALARIOS!B30</f>
        <v>56666.666666666664</v>
      </c>
      <c r="C58" s="6">
        <v>7</v>
      </c>
      <c r="D58" s="22">
        <f>B58*C58</f>
        <v>396666.66666666663</v>
      </c>
    </row>
    <row r="59" spans="1:4" x14ac:dyDescent="0.25">
      <c r="A59" s="5" t="s">
        <v>2</v>
      </c>
      <c r="B59" s="6">
        <f>SALARIOS!B66</f>
        <v>0</v>
      </c>
      <c r="C59" s="6">
        <v>7</v>
      </c>
      <c r="D59" s="22">
        <f>B59*C59</f>
        <v>0</v>
      </c>
    </row>
    <row r="60" spans="1:4" x14ac:dyDescent="0.25">
      <c r="A60" s="5" t="s">
        <v>52</v>
      </c>
      <c r="B60" s="6">
        <f>SALARIOS!B41</f>
        <v>8854.1666666666661</v>
      </c>
      <c r="C60" s="6">
        <v>2</v>
      </c>
      <c r="D60" s="22">
        <f>B60*C60</f>
        <v>17708.333333333332</v>
      </c>
    </row>
    <row r="61" spans="1:4" x14ac:dyDescent="0.25">
      <c r="A61" s="23" t="s">
        <v>48</v>
      </c>
      <c r="B61" s="13"/>
      <c r="C61" s="13"/>
      <c r="D61" s="22">
        <f>D58+D59+D60</f>
        <v>414374.99999999994</v>
      </c>
    </row>
    <row r="62" spans="1:4" x14ac:dyDescent="0.25">
      <c r="A62" s="5"/>
      <c r="B62" s="13"/>
      <c r="C62" s="13"/>
      <c r="D62" s="7"/>
    </row>
    <row r="63" spans="1:4" x14ac:dyDescent="0.25">
      <c r="A63" s="5" t="s">
        <v>49</v>
      </c>
      <c r="B63" s="6">
        <f>'JORNAL REAL'!C35</f>
        <v>94799.555555555562</v>
      </c>
      <c r="C63" s="6">
        <v>7</v>
      </c>
      <c r="D63" s="22">
        <f>B63*C63</f>
        <v>663596.88888888899</v>
      </c>
    </row>
    <row r="64" spans="1:4" x14ac:dyDescent="0.25">
      <c r="A64" s="5" t="s">
        <v>52</v>
      </c>
      <c r="B64" s="6">
        <f>B60</f>
        <v>8854.1666666666661</v>
      </c>
      <c r="C64" s="6">
        <v>2</v>
      </c>
      <c r="D64" s="22">
        <f>B64*C64</f>
        <v>17708.333333333332</v>
      </c>
    </row>
    <row r="65" spans="1:4" x14ac:dyDescent="0.25">
      <c r="A65" s="5" t="s">
        <v>53</v>
      </c>
      <c r="B65" s="6"/>
      <c r="C65" s="6"/>
      <c r="D65" s="22">
        <f>D63+D64</f>
        <v>681305.22222222236</v>
      </c>
    </row>
    <row r="66" spans="1:4" x14ac:dyDescent="0.25">
      <c r="A66" s="5"/>
      <c r="B66" s="13"/>
      <c r="C66" s="13"/>
      <c r="D66" s="7"/>
    </row>
    <row r="67" spans="1:4" x14ac:dyDescent="0.25">
      <c r="A67" s="8" t="s">
        <v>50</v>
      </c>
      <c r="B67" s="9"/>
      <c r="C67" s="9"/>
      <c r="D67" s="24">
        <f>D65-D61</f>
        <v>266930.22222222242</v>
      </c>
    </row>
    <row r="71" spans="1:4" x14ac:dyDescent="0.25">
      <c r="A71" s="38" t="s">
        <v>58</v>
      </c>
      <c r="B71" s="39"/>
      <c r="C71" s="39"/>
      <c r="D71" s="40"/>
    </row>
    <row r="72" spans="1:4" x14ac:dyDescent="0.25">
      <c r="A72" s="2"/>
      <c r="B72" s="20" t="s">
        <v>46</v>
      </c>
      <c r="C72" s="20" t="s">
        <v>45</v>
      </c>
      <c r="D72" s="21" t="s">
        <v>47</v>
      </c>
    </row>
    <row r="73" spans="1:4" x14ac:dyDescent="0.25">
      <c r="A73" s="5" t="s">
        <v>56</v>
      </c>
      <c r="B73" s="6">
        <f>SALARIOS!B30</f>
        <v>56666.666666666664</v>
      </c>
      <c r="C73" s="6">
        <v>3</v>
      </c>
      <c r="D73" s="22">
        <f>B73*C73</f>
        <v>170000</v>
      </c>
    </row>
    <row r="74" spans="1:4" x14ac:dyDescent="0.25">
      <c r="A74" s="5" t="s">
        <v>2</v>
      </c>
      <c r="B74" s="6">
        <f>SALARIOS!B81</f>
        <v>0</v>
      </c>
      <c r="C74" s="6">
        <v>3</v>
      </c>
      <c r="D74" s="22">
        <f>B74*C74</f>
        <v>0</v>
      </c>
    </row>
    <row r="75" spans="1:4" x14ac:dyDescent="0.25">
      <c r="A75" s="5" t="s">
        <v>52</v>
      </c>
      <c r="B75" s="6">
        <f>B64</f>
        <v>8854.1666666666661</v>
      </c>
      <c r="C75" s="6">
        <v>6</v>
      </c>
      <c r="D75" s="22">
        <f>B75*C75</f>
        <v>53125</v>
      </c>
    </row>
    <row r="76" spans="1:4" x14ac:dyDescent="0.25">
      <c r="A76" s="5" t="s">
        <v>59</v>
      </c>
      <c r="B76" s="6">
        <f>SALARIOS!B34</f>
        <v>9562.5</v>
      </c>
      <c r="C76" s="6">
        <v>2</v>
      </c>
      <c r="D76" s="22">
        <f>B76*C76</f>
        <v>19125</v>
      </c>
    </row>
    <row r="77" spans="1:4" x14ac:dyDescent="0.25">
      <c r="A77" s="23" t="s">
        <v>48</v>
      </c>
      <c r="B77" s="13"/>
      <c r="C77" s="13"/>
      <c r="D77" s="22">
        <f>D73+D74+D75+D76</f>
        <v>242250</v>
      </c>
    </row>
    <row r="78" spans="1:4" x14ac:dyDescent="0.25">
      <c r="A78" s="5"/>
      <c r="B78" s="13"/>
      <c r="C78" s="13"/>
      <c r="D78" s="7"/>
    </row>
    <row r="79" spans="1:4" x14ac:dyDescent="0.25">
      <c r="A79" s="5" t="s">
        <v>49</v>
      </c>
      <c r="B79" s="6">
        <f>B63</f>
        <v>94799.555555555562</v>
      </c>
      <c r="C79" s="6">
        <v>3</v>
      </c>
      <c r="D79" s="22">
        <f>B79*C79</f>
        <v>284398.66666666669</v>
      </c>
    </row>
    <row r="80" spans="1:4" x14ac:dyDescent="0.25">
      <c r="A80" s="5" t="s">
        <v>52</v>
      </c>
      <c r="B80" s="6">
        <f>B75</f>
        <v>8854.1666666666661</v>
      </c>
      <c r="C80" s="6">
        <v>6</v>
      </c>
      <c r="D80" s="22">
        <f>B80*C80</f>
        <v>53125</v>
      </c>
    </row>
    <row r="81" spans="1:4" x14ac:dyDescent="0.25">
      <c r="A81" s="5" t="s">
        <v>59</v>
      </c>
      <c r="B81" s="6">
        <f>SALARIOS!B34</f>
        <v>9562.5</v>
      </c>
      <c r="C81" s="6">
        <v>2</v>
      </c>
      <c r="D81" s="22">
        <f>B81*C81</f>
        <v>19125</v>
      </c>
    </row>
    <row r="82" spans="1:4" x14ac:dyDescent="0.25">
      <c r="A82" s="5" t="s">
        <v>53</v>
      </c>
      <c r="B82" s="6"/>
      <c r="C82" s="6"/>
      <c r="D82" s="22">
        <f>D79+D80+D81</f>
        <v>356648.66666666669</v>
      </c>
    </row>
    <row r="83" spans="1:4" x14ac:dyDescent="0.25">
      <c r="A83" s="5"/>
      <c r="B83" s="13"/>
      <c r="C83" s="13"/>
      <c r="D83" s="7"/>
    </row>
    <row r="84" spans="1:4" x14ac:dyDescent="0.25">
      <c r="A84" s="8" t="s">
        <v>50</v>
      </c>
      <c r="B84" s="9"/>
      <c r="C84" s="9"/>
      <c r="D84" s="24">
        <f>D82-D77</f>
        <v>114398.66666666669</v>
      </c>
    </row>
  </sheetData>
  <mergeCells count="6">
    <mergeCell ref="A71:D71"/>
    <mergeCell ref="A2:D2"/>
    <mergeCell ref="A14:D14"/>
    <mergeCell ref="A29:D29"/>
    <mergeCell ref="A42:D42"/>
    <mergeCell ref="A56:D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topLeftCell="A146" workbookViewId="0">
      <selection activeCell="D163" sqref="D163"/>
    </sheetView>
  </sheetViews>
  <sheetFormatPr baseColWidth="10" defaultRowHeight="15" x14ac:dyDescent="0.25"/>
  <cols>
    <col min="1" max="1" width="46.5703125" customWidth="1"/>
    <col min="2" max="2" width="18.42578125" customWidth="1"/>
    <col min="3" max="3" width="13.42578125" customWidth="1"/>
    <col min="4" max="4" width="14.28515625" customWidth="1"/>
  </cols>
  <sheetData>
    <row r="2" spans="1:4" x14ac:dyDescent="0.25">
      <c r="A2" s="35" t="s">
        <v>60</v>
      </c>
      <c r="B2" s="36"/>
      <c r="C2" s="36"/>
      <c r="D2" s="37"/>
    </row>
    <row r="4" spans="1:4" x14ac:dyDescent="0.25">
      <c r="A4" s="38" t="s">
        <v>61</v>
      </c>
      <c r="B4" s="39"/>
      <c r="C4" s="39"/>
      <c r="D4" s="40"/>
    </row>
    <row r="5" spans="1:4" x14ac:dyDescent="0.25">
      <c r="A5" s="2"/>
      <c r="B5" s="20" t="s">
        <v>46</v>
      </c>
      <c r="C5" s="20" t="s">
        <v>45</v>
      </c>
      <c r="D5" s="21" t="s">
        <v>47</v>
      </c>
    </row>
    <row r="6" spans="1:4" x14ac:dyDescent="0.25">
      <c r="A6" s="5" t="s">
        <v>44</v>
      </c>
      <c r="B6" s="6">
        <f>'JORNAL REAL'!C4</f>
        <v>27603.866666666665</v>
      </c>
      <c r="C6" s="6">
        <v>7</v>
      </c>
      <c r="D6" s="22">
        <f>B6*C6</f>
        <v>193227.06666666665</v>
      </c>
    </row>
    <row r="7" spans="1:4" x14ac:dyDescent="0.25">
      <c r="A7" s="5" t="s">
        <v>2</v>
      </c>
      <c r="B7" s="6">
        <f>SALARIOS!B24</f>
        <v>3234.4</v>
      </c>
      <c r="C7" s="6">
        <v>7</v>
      </c>
      <c r="D7" s="22">
        <f>B7*C7</f>
        <v>22640.799999999999</v>
      </c>
    </row>
    <row r="8" spans="1:4" x14ac:dyDescent="0.25">
      <c r="A8" s="5" t="s">
        <v>52</v>
      </c>
      <c r="B8" s="6">
        <f>SALARIOS!B16</f>
        <v>4313.1041666666661</v>
      </c>
      <c r="C8" s="6">
        <v>2</v>
      </c>
      <c r="D8" s="22">
        <f>B8*C8</f>
        <v>8626.2083333333321</v>
      </c>
    </row>
    <row r="9" spans="1:4" x14ac:dyDescent="0.25">
      <c r="A9" s="23" t="s">
        <v>48</v>
      </c>
      <c r="B9" s="13"/>
      <c r="C9" s="13"/>
      <c r="D9" s="22">
        <f>D6+D7+D8</f>
        <v>224494.07499999998</v>
      </c>
    </row>
    <row r="10" spans="1:4" x14ac:dyDescent="0.25">
      <c r="A10" s="5"/>
      <c r="B10" s="13"/>
      <c r="C10" s="13"/>
      <c r="D10" s="7"/>
    </row>
    <row r="11" spans="1:4" x14ac:dyDescent="0.25">
      <c r="A11" s="5" t="s">
        <v>49</v>
      </c>
      <c r="B11" s="6">
        <f>'JORNAL REAL'!C17</f>
        <v>49985.23934222223</v>
      </c>
      <c r="C11" s="6">
        <v>7</v>
      </c>
      <c r="D11" s="22">
        <f>B11*C11</f>
        <v>349896.67539555562</v>
      </c>
    </row>
    <row r="12" spans="1:4" x14ac:dyDescent="0.25">
      <c r="A12" s="5" t="s">
        <v>52</v>
      </c>
      <c r="B12" s="6">
        <f>SALARIOS!B16</f>
        <v>4313.1041666666661</v>
      </c>
      <c r="C12" s="6">
        <v>2</v>
      </c>
      <c r="D12" s="22">
        <f>B12*C12</f>
        <v>8626.2083333333321</v>
      </c>
    </row>
    <row r="13" spans="1:4" x14ac:dyDescent="0.25">
      <c r="A13" s="5" t="s">
        <v>53</v>
      </c>
      <c r="B13" s="6"/>
      <c r="C13" s="6"/>
      <c r="D13" s="22">
        <f>D11+D12</f>
        <v>358522.88372888893</v>
      </c>
    </row>
    <row r="14" spans="1:4" x14ac:dyDescent="0.25">
      <c r="A14" s="5"/>
      <c r="B14" s="13"/>
      <c r="C14" s="13"/>
      <c r="D14" s="7"/>
    </row>
    <row r="15" spans="1:4" x14ac:dyDescent="0.25">
      <c r="A15" s="8" t="s">
        <v>50</v>
      </c>
      <c r="B15" s="9"/>
      <c r="C15" s="9"/>
      <c r="D15" s="24">
        <f>D13-D9</f>
        <v>134028.80872888895</v>
      </c>
    </row>
    <row r="19" spans="1:4" x14ac:dyDescent="0.25">
      <c r="A19" s="38" t="s">
        <v>51</v>
      </c>
      <c r="B19" s="39"/>
      <c r="C19" s="39"/>
      <c r="D19" s="40"/>
    </row>
    <row r="20" spans="1:4" x14ac:dyDescent="0.25">
      <c r="A20" s="2"/>
      <c r="B20" s="20" t="s">
        <v>46</v>
      </c>
      <c r="C20" s="20" t="s">
        <v>45</v>
      </c>
      <c r="D20" s="21" t="s">
        <v>47</v>
      </c>
    </row>
    <row r="21" spans="1:4" x14ac:dyDescent="0.25">
      <c r="A21" s="5" t="s">
        <v>44</v>
      </c>
      <c r="B21" s="6">
        <f>'JORNAL REAL'!C4</f>
        <v>27603.866666666665</v>
      </c>
      <c r="C21" s="6">
        <v>7</v>
      </c>
      <c r="D21" s="22">
        <f>B21*C21</f>
        <v>193227.06666666665</v>
      </c>
    </row>
    <row r="22" spans="1:4" x14ac:dyDescent="0.25">
      <c r="A22" s="5" t="s">
        <v>2</v>
      </c>
      <c r="B22" s="6">
        <f>SALARIOS!B24</f>
        <v>3234.4</v>
      </c>
      <c r="C22" s="6">
        <v>7</v>
      </c>
      <c r="D22" s="22">
        <f>B22*C22</f>
        <v>22640.799999999999</v>
      </c>
    </row>
    <row r="23" spans="1:4" x14ac:dyDescent="0.25">
      <c r="A23" s="5" t="s">
        <v>52</v>
      </c>
      <c r="B23" s="6">
        <f>SALARIOS!B16</f>
        <v>4313.1041666666661</v>
      </c>
      <c r="C23" s="6">
        <v>11</v>
      </c>
      <c r="D23" s="22">
        <f>B23*C23</f>
        <v>47444.145833333328</v>
      </c>
    </row>
    <row r="24" spans="1:4" x14ac:dyDescent="0.25">
      <c r="A24" s="23" t="s">
        <v>48</v>
      </c>
      <c r="B24" s="13"/>
      <c r="C24" s="13"/>
      <c r="D24" s="22">
        <f>D21+D22+D23</f>
        <v>263312.01249999995</v>
      </c>
    </row>
    <row r="25" spans="1:4" x14ac:dyDescent="0.25">
      <c r="A25" s="5"/>
      <c r="B25" s="13"/>
      <c r="C25" s="13"/>
      <c r="D25" s="7"/>
    </row>
    <row r="26" spans="1:4" x14ac:dyDescent="0.25">
      <c r="A26" s="5" t="s">
        <v>49</v>
      </c>
      <c r="B26" s="6">
        <f>'JORNAL REAL'!C17</f>
        <v>49985.23934222223</v>
      </c>
      <c r="C26" s="6">
        <v>7</v>
      </c>
      <c r="D26" s="22">
        <f>B26*C26</f>
        <v>349896.67539555562</v>
      </c>
    </row>
    <row r="27" spans="1:4" x14ac:dyDescent="0.25">
      <c r="A27" s="5" t="s">
        <v>52</v>
      </c>
      <c r="B27" s="6">
        <f>SALARIOS!B16</f>
        <v>4313.1041666666661</v>
      </c>
      <c r="C27" s="6">
        <v>11</v>
      </c>
      <c r="D27" s="22">
        <f>B27*C27</f>
        <v>47444.145833333328</v>
      </c>
    </row>
    <row r="28" spans="1:4" x14ac:dyDescent="0.25">
      <c r="A28" s="5" t="s">
        <v>53</v>
      </c>
      <c r="B28" s="6"/>
      <c r="C28" s="6"/>
      <c r="D28" s="22">
        <f>D26+D27</f>
        <v>397340.82122888893</v>
      </c>
    </row>
    <row r="29" spans="1:4" x14ac:dyDescent="0.25">
      <c r="A29" s="5"/>
      <c r="B29" s="13"/>
      <c r="C29" s="13"/>
      <c r="D29" s="7"/>
    </row>
    <row r="30" spans="1:4" x14ac:dyDescent="0.25">
      <c r="A30" s="8" t="s">
        <v>50</v>
      </c>
      <c r="B30" s="9"/>
      <c r="C30" s="9"/>
      <c r="D30" s="24">
        <f>D28-D24</f>
        <v>134028.80872888898</v>
      </c>
    </row>
    <row r="34" spans="1:4" x14ac:dyDescent="0.25">
      <c r="A34" s="38" t="s">
        <v>54</v>
      </c>
      <c r="B34" s="39"/>
      <c r="C34" s="39"/>
      <c r="D34" s="40"/>
    </row>
    <row r="35" spans="1:4" x14ac:dyDescent="0.25">
      <c r="A35" s="2"/>
      <c r="B35" s="20" t="s">
        <v>46</v>
      </c>
      <c r="C35" s="20" t="s">
        <v>45</v>
      </c>
      <c r="D35" s="21" t="s">
        <v>47</v>
      </c>
    </row>
    <row r="36" spans="1:4" x14ac:dyDescent="0.25">
      <c r="A36" s="5" t="s">
        <v>44</v>
      </c>
      <c r="B36" s="6">
        <f>SALARIOS!B5</f>
        <v>27603.866666666665</v>
      </c>
      <c r="C36" s="6">
        <v>5</v>
      </c>
      <c r="D36" s="22">
        <f>B36*C36</f>
        <v>138019.33333333331</v>
      </c>
    </row>
    <row r="37" spans="1:4" x14ac:dyDescent="0.25">
      <c r="A37" s="5" t="s">
        <v>2</v>
      </c>
      <c r="B37" s="6">
        <f>SALARIOS!B24</f>
        <v>3234.4</v>
      </c>
      <c r="C37" s="6">
        <v>5</v>
      </c>
      <c r="D37" s="22">
        <f>B37*C37</f>
        <v>16172</v>
      </c>
    </row>
    <row r="38" spans="1:4" x14ac:dyDescent="0.25">
      <c r="A38" s="23" t="s">
        <v>48</v>
      </c>
      <c r="B38" s="13"/>
      <c r="C38" s="13"/>
      <c r="D38" s="22">
        <f>D36+D37</f>
        <v>154191.33333333331</v>
      </c>
    </row>
    <row r="39" spans="1:4" x14ac:dyDescent="0.25">
      <c r="A39" s="5"/>
      <c r="B39" s="13"/>
      <c r="C39" s="13"/>
      <c r="D39" s="7"/>
    </row>
    <row r="40" spans="1:4" x14ac:dyDescent="0.25">
      <c r="A40" s="5" t="s">
        <v>49</v>
      </c>
      <c r="B40" s="6">
        <f>B26</f>
        <v>49985.23934222223</v>
      </c>
      <c r="C40" s="6">
        <v>5</v>
      </c>
      <c r="D40" s="22">
        <f>B40*C40</f>
        <v>249926.19671111114</v>
      </c>
    </row>
    <row r="41" spans="1:4" x14ac:dyDescent="0.25">
      <c r="A41" s="5" t="s">
        <v>53</v>
      </c>
      <c r="B41" s="6"/>
      <c r="C41" s="6"/>
      <c r="D41" s="22">
        <f>D40</f>
        <v>249926.19671111114</v>
      </c>
    </row>
    <row r="42" spans="1:4" x14ac:dyDescent="0.25">
      <c r="A42" s="5"/>
      <c r="B42" s="13"/>
      <c r="C42" s="13"/>
      <c r="D42" s="7"/>
    </row>
    <row r="43" spans="1:4" x14ac:dyDescent="0.25">
      <c r="A43" s="8" t="s">
        <v>50</v>
      </c>
      <c r="B43" s="9"/>
      <c r="C43" s="9"/>
      <c r="D43" s="24">
        <f>D41-D38</f>
        <v>95734.86337777783</v>
      </c>
    </row>
    <row r="47" spans="1:4" x14ac:dyDescent="0.25">
      <c r="A47" s="38" t="s">
        <v>55</v>
      </c>
      <c r="B47" s="39"/>
      <c r="C47" s="39"/>
      <c r="D47" s="40"/>
    </row>
    <row r="48" spans="1:4" x14ac:dyDescent="0.25">
      <c r="A48" s="2"/>
      <c r="B48" s="20" t="s">
        <v>46</v>
      </c>
      <c r="C48" s="20" t="s">
        <v>45</v>
      </c>
      <c r="D48" s="21" t="s">
        <v>47</v>
      </c>
    </row>
    <row r="49" spans="1:4" x14ac:dyDescent="0.25">
      <c r="A49" s="5" t="s">
        <v>56</v>
      </c>
      <c r="B49" s="6">
        <f>SALARIOS!B5</f>
        <v>27603.866666666665</v>
      </c>
      <c r="C49" s="6">
        <v>3</v>
      </c>
      <c r="D49" s="22">
        <f>B49*C49</f>
        <v>82811.599999999991</v>
      </c>
    </row>
    <row r="50" spans="1:4" x14ac:dyDescent="0.25">
      <c r="A50" s="5" t="s">
        <v>2</v>
      </c>
      <c r="B50" s="6">
        <f>SALARIOS!B24</f>
        <v>3234.4</v>
      </c>
      <c r="C50" s="6">
        <v>3</v>
      </c>
      <c r="D50" s="22">
        <f>B50*C50</f>
        <v>9703.2000000000007</v>
      </c>
    </row>
    <row r="51" spans="1:4" x14ac:dyDescent="0.25">
      <c r="A51" s="23" t="s">
        <v>48</v>
      </c>
      <c r="B51" s="13"/>
      <c r="C51" s="13"/>
      <c r="D51" s="22">
        <f>D49+D50</f>
        <v>92514.799999999988</v>
      </c>
    </row>
    <row r="52" spans="1:4" x14ac:dyDescent="0.25">
      <c r="A52" s="5"/>
      <c r="B52" s="13"/>
      <c r="C52" s="13"/>
      <c r="D52" s="7"/>
    </row>
    <row r="53" spans="1:4" x14ac:dyDescent="0.25">
      <c r="A53" s="5" t="s">
        <v>49</v>
      </c>
      <c r="B53" s="6">
        <f>'JORNAL REAL'!C17</f>
        <v>49985.23934222223</v>
      </c>
      <c r="C53" s="6">
        <v>3</v>
      </c>
      <c r="D53" s="22">
        <f>B53*C53</f>
        <v>149955.7180266667</v>
      </c>
    </row>
    <row r="54" spans="1:4" x14ac:dyDescent="0.25">
      <c r="A54" s="5"/>
      <c r="B54" s="6"/>
      <c r="C54" s="6"/>
      <c r="D54" s="22"/>
    </row>
    <row r="55" spans="1:4" x14ac:dyDescent="0.25">
      <c r="A55" s="5" t="s">
        <v>53</v>
      </c>
      <c r="B55" s="6"/>
      <c r="C55" s="6"/>
      <c r="D55" s="22">
        <f>D53+D54</f>
        <v>149955.7180266667</v>
      </c>
    </row>
    <row r="56" spans="1:4" x14ac:dyDescent="0.25">
      <c r="A56" s="5"/>
      <c r="B56" s="13"/>
      <c r="C56" s="13"/>
      <c r="D56" s="7"/>
    </row>
    <row r="57" spans="1:4" x14ac:dyDescent="0.25">
      <c r="A57" s="8" t="s">
        <v>50</v>
      </c>
      <c r="B57" s="9"/>
      <c r="C57" s="9"/>
      <c r="D57" s="24">
        <f>D55-D51</f>
        <v>57440.91802666671</v>
      </c>
    </row>
    <row r="61" spans="1:4" x14ac:dyDescent="0.25">
      <c r="A61" s="38" t="s">
        <v>57</v>
      </c>
      <c r="B61" s="39"/>
      <c r="C61" s="39"/>
      <c r="D61" s="40"/>
    </row>
    <row r="62" spans="1:4" x14ac:dyDescent="0.25">
      <c r="A62" s="2"/>
      <c r="B62" s="20" t="s">
        <v>46</v>
      </c>
      <c r="C62" s="20" t="s">
        <v>45</v>
      </c>
      <c r="D62" s="21" t="s">
        <v>47</v>
      </c>
    </row>
    <row r="63" spans="1:4" x14ac:dyDescent="0.25">
      <c r="A63" s="5" t="s">
        <v>56</v>
      </c>
      <c r="B63" s="6">
        <f>SALARIOS!B30</f>
        <v>56666.666666666664</v>
      </c>
      <c r="C63" s="6">
        <v>7</v>
      </c>
      <c r="D63" s="22">
        <f>B63*C63</f>
        <v>396666.66666666663</v>
      </c>
    </row>
    <row r="64" spans="1:4" x14ac:dyDescent="0.25">
      <c r="A64" s="5" t="s">
        <v>2</v>
      </c>
      <c r="B64" s="6">
        <f>SALARIOS!B68</f>
        <v>0</v>
      </c>
      <c r="C64" s="6">
        <v>0</v>
      </c>
      <c r="D64" s="22">
        <f>B64*C64</f>
        <v>0</v>
      </c>
    </row>
    <row r="65" spans="1:4" x14ac:dyDescent="0.25">
      <c r="A65" s="5" t="s">
        <v>52</v>
      </c>
      <c r="B65" s="6">
        <f>SALARIOS!B41</f>
        <v>8854.1666666666661</v>
      </c>
      <c r="C65" s="6">
        <v>7</v>
      </c>
      <c r="D65" s="22">
        <f>B65*C65</f>
        <v>61979.166666666664</v>
      </c>
    </row>
    <row r="66" spans="1:4" x14ac:dyDescent="0.25">
      <c r="A66" s="23" t="s">
        <v>48</v>
      </c>
      <c r="B66" s="13"/>
      <c r="C66" s="13"/>
      <c r="D66" s="22">
        <f>D63+D64+D65</f>
        <v>458645.83333333331</v>
      </c>
    </row>
    <row r="67" spans="1:4" x14ac:dyDescent="0.25">
      <c r="A67" s="5"/>
      <c r="B67" s="13"/>
      <c r="C67" s="13"/>
      <c r="D67" s="7"/>
    </row>
    <row r="68" spans="1:4" x14ac:dyDescent="0.25">
      <c r="A68" s="5" t="s">
        <v>49</v>
      </c>
      <c r="B68" s="6">
        <f>'JORNAL REAL'!C35</f>
        <v>94799.555555555562</v>
      </c>
      <c r="C68" s="6">
        <v>7</v>
      </c>
      <c r="D68" s="22">
        <f>B68*C68</f>
        <v>663596.88888888899</v>
      </c>
    </row>
    <row r="69" spans="1:4" x14ac:dyDescent="0.25">
      <c r="A69" s="5" t="s">
        <v>52</v>
      </c>
      <c r="B69" s="6">
        <f>B65</f>
        <v>8854.1666666666661</v>
      </c>
      <c r="C69" s="6">
        <v>7</v>
      </c>
      <c r="D69" s="22">
        <f>B69*C69</f>
        <v>61979.166666666664</v>
      </c>
    </row>
    <row r="70" spans="1:4" x14ac:dyDescent="0.25">
      <c r="A70" s="5" t="s">
        <v>53</v>
      </c>
      <c r="B70" s="6"/>
      <c r="C70" s="6"/>
      <c r="D70" s="22">
        <f>D68+D69</f>
        <v>725576.05555555562</v>
      </c>
    </row>
    <row r="71" spans="1:4" x14ac:dyDescent="0.25">
      <c r="A71" s="5"/>
      <c r="B71" s="13"/>
      <c r="C71" s="13"/>
      <c r="D71" s="7"/>
    </row>
    <row r="72" spans="1:4" x14ac:dyDescent="0.25">
      <c r="A72" s="8" t="s">
        <v>50</v>
      </c>
      <c r="B72" s="9"/>
      <c r="C72" s="9"/>
      <c r="D72" s="24">
        <f>D70-D66</f>
        <v>266930.22222222231</v>
      </c>
    </row>
    <row r="76" spans="1:4" x14ac:dyDescent="0.25">
      <c r="A76" s="38" t="s">
        <v>58</v>
      </c>
      <c r="B76" s="39"/>
      <c r="C76" s="39"/>
      <c r="D76" s="40"/>
    </row>
    <row r="77" spans="1:4" x14ac:dyDescent="0.25">
      <c r="A77" s="2"/>
      <c r="B77" s="20" t="s">
        <v>46</v>
      </c>
      <c r="C77" s="20" t="s">
        <v>45</v>
      </c>
      <c r="D77" s="21" t="s">
        <v>47</v>
      </c>
    </row>
    <row r="78" spans="1:4" x14ac:dyDescent="0.25">
      <c r="A78" s="5" t="s">
        <v>56</v>
      </c>
      <c r="B78" s="6">
        <f>SALARIOS!B30</f>
        <v>56666.666666666664</v>
      </c>
      <c r="C78" s="6">
        <v>7</v>
      </c>
      <c r="D78" s="22">
        <f>B78*C78</f>
        <v>396666.66666666663</v>
      </c>
    </row>
    <row r="79" spans="1:4" x14ac:dyDescent="0.25">
      <c r="A79" s="5" t="s">
        <v>2</v>
      </c>
      <c r="B79" s="6">
        <f>SALARIOS!B83</f>
        <v>0</v>
      </c>
      <c r="C79" s="6">
        <v>7</v>
      </c>
      <c r="D79" s="22">
        <f>B79*C79</f>
        <v>0</v>
      </c>
    </row>
    <row r="80" spans="1:4" x14ac:dyDescent="0.25">
      <c r="A80" s="5" t="s">
        <v>52</v>
      </c>
      <c r="B80" s="6">
        <v>0</v>
      </c>
      <c r="C80" s="6">
        <v>0</v>
      </c>
      <c r="D80" s="22">
        <f>B80*C80</f>
        <v>0</v>
      </c>
    </row>
    <row r="81" spans="1:4" x14ac:dyDescent="0.25">
      <c r="A81" s="23" t="s">
        <v>48</v>
      </c>
      <c r="B81" s="13"/>
      <c r="C81" s="13"/>
      <c r="D81" s="22">
        <f>D78+D79+D80</f>
        <v>396666.66666666663</v>
      </c>
    </row>
    <row r="82" spans="1:4" x14ac:dyDescent="0.25">
      <c r="A82" s="5"/>
      <c r="B82" s="13"/>
      <c r="C82" s="13"/>
      <c r="D82" s="7"/>
    </row>
    <row r="83" spans="1:4" x14ac:dyDescent="0.25">
      <c r="A83" s="5" t="s">
        <v>49</v>
      </c>
      <c r="B83" s="6">
        <f>'JORNAL REAL'!C35</f>
        <v>94799.555555555562</v>
      </c>
      <c r="C83" s="6">
        <v>7</v>
      </c>
      <c r="D83" s="22">
        <f>B83*C83</f>
        <v>663596.88888888899</v>
      </c>
    </row>
    <row r="84" spans="1:4" x14ac:dyDescent="0.25">
      <c r="A84" s="5" t="s">
        <v>52</v>
      </c>
      <c r="B84" s="6">
        <f>B80</f>
        <v>0</v>
      </c>
      <c r="C84" s="6">
        <v>0</v>
      </c>
      <c r="D84" s="22">
        <f>B84*C84</f>
        <v>0</v>
      </c>
    </row>
    <row r="85" spans="1:4" x14ac:dyDescent="0.25">
      <c r="A85" s="5"/>
      <c r="B85" s="6"/>
      <c r="C85" s="6"/>
      <c r="D85" s="22"/>
    </row>
    <row r="86" spans="1:4" x14ac:dyDescent="0.25">
      <c r="A86" s="5" t="s">
        <v>53</v>
      </c>
      <c r="B86" s="6"/>
      <c r="C86" s="6"/>
      <c r="D86" s="22">
        <f>D83+D84+D85</f>
        <v>663596.88888888899</v>
      </c>
    </row>
    <row r="87" spans="1:4" x14ac:dyDescent="0.25">
      <c r="A87" s="5"/>
      <c r="B87" s="13"/>
      <c r="C87" s="13"/>
      <c r="D87" s="7"/>
    </row>
    <row r="88" spans="1:4" x14ac:dyDescent="0.25">
      <c r="A88" s="8" t="s">
        <v>50</v>
      </c>
      <c r="B88" s="9"/>
      <c r="C88" s="9"/>
      <c r="D88" s="24">
        <f>D86-D81</f>
        <v>266930.22222222236</v>
      </c>
    </row>
    <row r="92" spans="1:4" x14ac:dyDescent="0.25">
      <c r="A92" s="38" t="s">
        <v>62</v>
      </c>
      <c r="B92" s="39"/>
      <c r="C92" s="39"/>
      <c r="D92" s="40"/>
    </row>
    <row r="93" spans="1:4" x14ac:dyDescent="0.25">
      <c r="A93" s="2"/>
      <c r="B93" s="20" t="s">
        <v>46</v>
      </c>
      <c r="C93" s="20" t="s">
        <v>45</v>
      </c>
      <c r="D93" s="21" t="s">
        <v>47</v>
      </c>
    </row>
    <row r="94" spans="1:4" x14ac:dyDescent="0.25">
      <c r="A94" s="5" t="s">
        <v>56</v>
      </c>
      <c r="B94" s="6">
        <f>SALARIOS!B30</f>
        <v>56666.666666666664</v>
      </c>
      <c r="C94" s="6">
        <v>7</v>
      </c>
      <c r="D94" s="22">
        <f>B94*C94</f>
        <v>396666.66666666663</v>
      </c>
    </row>
    <row r="95" spans="1:4" x14ac:dyDescent="0.25">
      <c r="A95" s="5" t="s">
        <v>2</v>
      </c>
      <c r="B95" s="6">
        <f>SALARIOS!B99</f>
        <v>0</v>
      </c>
      <c r="C95" s="6">
        <v>7</v>
      </c>
      <c r="D95" s="22">
        <f>B95*C95</f>
        <v>0</v>
      </c>
    </row>
    <row r="96" spans="1:4" x14ac:dyDescent="0.25">
      <c r="A96" s="5" t="s">
        <v>52</v>
      </c>
      <c r="B96" s="6">
        <f>SALARIOS!B41</f>
        <v>8854.1666666666661</v>
      </c>
      <c r="C96" s="6">
        <v>8</v>
      </c>
      <c r="D96" s="22">
        <f>B96*C96</f>
        <v>70833.333333333328</v>
      </c>
    </row>
    <row r="97" spans="1:4" x14ac:dyDescent="0.25">
      <c r="A97" s="5" t="s">
        <v>59</v>
      </c>
      <c r="B97" s="6">
        <f>SALARIOS!B42</f>
        <v>12395.833333333332</v>
      </c>
      <c r="C97" s="6">
        <v>2</v>
      </c>
      <c r="D97" s="22">
        <f>B97*C97</f>
        <v>24791.666666666664</v>
      </c>
    </row>
    <row r="98" spans="1:4" x14ac:dyDescent="0.25">
      <c r="A98" s="23" t="s">
        <v>48</v>
      </c>
      <c r="B98" s="13"/>
      <c r="C98" s="13"/>
      <c r="D98" s="22">
        <f>D94+D95+D96+D97</f>
        <v>492291.66666666663</v>
      </c>
    </row>
    <row r="99" spans="1:4" x14ac:dyDescent="0.25">
      <c r="A99" s="5"/>
      <c r="B99" s="13"/>
      <c r="C99" s="13"/>
      <c r="D99" s="7"/>
    </row>
    <row r="100" spans="1:4" x14ac:dyDescent="0.25">
      <c r="A100" s="5" t="s">
        <v>49</v>
      </c>
      <c r="B100" s="6">
        <f>'JORNAL REAL'!C35</f>
        <v>94799.555555555562</v>
      </c>
      <c r="C100" s="6">
        <v>7</v>
      </c>
      <c r="D100" s="22">
        <f>B100*C100</f>
        <v>663596.88888888899</v>
      </c>
    </row>
    <row r="101" spans="1:4" x14ac:dyDescent="0.25">
      <c r="A101" s="5" t="s">
        <v>52</v>
      </c>
      <c r="B101" s="6">
        <f>B96</f>
        <v>8854.1666666666661</v>
      </c>
      <c r="C101" s="6">
        <v>8</v>
      </c>
      <c r="D101" s="22">
        <f>B101*C101</f>
        <v>70833.333333333328</v>
      </c>
    </row>
    <row r="102" spans="1:4" x14ac:dyDescent="0.25">
      <c r="A102" s="5" t="s">
        <v>59</v>
      </c>
      <c r="B102" s="6">
        <f>SALARIOS!B42</f>
        <v>12395.833333333332</v>
      </c>
      <c r="C102" s="6">
        <v>2</v>
      </c>
      <c r="D102" s="22">
        <f>B102*C102</f>
        <v>24791.666666666664</v>
      </c>
    </row>
    <row r="103" spans="1:4" x14ac:dyDescent="0.25">
      <c r="A103" s="5"/>
      <c r="B103" s="6"/>
      <c r="C103" s="6"/>
      <c r="D103" s="22"/>
    </row>
    <row r="104" spans="1:4" x14ac:dyDescent="0.25">
      <c r="A104" s="5" t="s">
        <v>53</v>
      </c>
      <c r="B104" s="6"/>
      <c r="C104" s="6"/>
      <c r="D104" s="22">
        <f>D100+D101+D102</f>
        <v>759221.88888888899</v>
      </c>
    </row>
    <row r="105" spans="1:4" x14ac:dyDescent="0.25">
      <c r="A105" s="5"/>
      <c r="B105" s="13"/>
      <c r="C105" s="13"/>
      <c r="D105" s="7"/>
    </row>
    <row r="106" spans="1:4" x14ac:dyDescent="0.25">
      <c r="A106" s="8" t="s">
        <v>50</v>
      </c>
      <c r="B106" s="9"/>
      <c r="C106" s="9"/>
      <c r="D106" s="24">
        <f>D104-D98</f>
        <v>266930.22222222236</v>
      </c>
    </row>
    <row r="110" spans="1:4" x14ac:dyDescent="0.25">
      <c r="A110" s="38" t="s">
        <v>63</v>
      </c>
      <c r="B110" s="39"/>
      <c r="C110" s="39"/>
      <c r="D110" s="40"/>
    </row>
    <row r="111" spans="1:4" x14ac:dyDescent="0.25">
      <c r="A111" s="2"/>
      <c r="B111" s="20" t="s">
        <v>46</v>
      </c>
      <c r="C111" s="20" t="s">
        <v>45</v>
      </c>
      <c r="D111" s="21" t="s">
        <v>47</v>
      </c>
    </row>
    <row r="112" spans="1:4" x14ac:dyDescent="0.25">
      <c r="A112" s="5" t="s">
        <v>56</v>
      </c>
      <c r="B112" s="6">
        <f>SALARIOS!B30</f>
        <v>56666.666666666664</v>
      </c>
      <c r="C112" s="6">
        <v>7</v>
      </c>
      <c r="D112" s="22">
        <f>B112*C112</f>
        <v>396666.66666666663</v>
      </c>
    </row>
    <row r="113" spans="1:4" x14ac:dyDescent="0.25">
      <c r="A113" s="5" t="s">
        <v>2</v>
      </c>
      <c r="B113" s="6">
        <f>SALARIOS!B117</f>
        <v>0</v>
      </c>
      <c r="C113" s="6">
        <v>7</v>
      </c>
      <c r="D113" s="22">
        <f>B113*C113</f>
        <v>0</v>
      </c>
    </row>
    <row r="114" spans="1:4" x14ac:dyDescent="0.25">
      <c r="A114" s="5" t="s">
        <v>52</v>
      </c>
      <c r="B114" s="6">
        <f>SALARIOS!B41</f>
        <v>8854.1666666666661</v>
      </c>
      <c r="C114" s="6">
        <v>7</v>
      </c>
      <c r="D114" s="22">
        <f>B114*C114</f>
        <v>61979.166666666664</v>
      </c>
    </row>
    <row r="115" spans="1:4" x14ac:dyDescent="0.25">
      <c r="A115" s="5" t="s">
        <v>64</v>
      </c>
      <c r="B115" s="6">
        <f>SALARIOS!B36</f>
        <v>12395.833333333332</v>
      </c>
      <c r="C115" s="6">
        <v>4</v>
      </c>
      <c r="D115" s="22">
        <f>B115*C115</f>
        <v>49583.333333333328</v>
      </c>
    </row>
    <row r="116" spans="1:4" x14ac:dyDescent="0.25">
      <c r="A116" s="5"/>
      <c r="B116" s="6"/>
      <c r="C116" s="6"/>
      <c r="D116" s="22"/>
    </row>
    <row r="117" spans="1:4" x14ac:dyDescent="0.25">
      <c r="A117" s="23" t="s">
        <v>48</v>
      </c>
      <c r="B117" s="13"/>
      <c r="C117" s="13"/>
      <c r="D117" s="22">
        <f>D112+D113+D114+D116+D115</f>
        <v>508229.16666666663</v>
      </c>
    </row>
    <row r="118" spans="1:4" x14ac:dyDescent="0.25">
      <c r="A118" s="5"/>
      <c r="B118" s="13"/>
      <c r="C118" s="13"/>
      <c r="D118" s="7"/>
    </row>
    <row r="119" spans="1:4" x14ac:dyDescent="0.25">
      <c r="A119" s="5" t="s">
        <v>49</v>
      </c>
      <c r="B119" s="6">
        <f>'JORNAL REAL'!C35</f>
        <v>94799.555555555562</v>
      </c>
      <c r="C119" s="6">
        <v>7</v>
      </c>
      <c r="D119" s="22">
        <f>B119*C119</f>
        <v>663596.88888888899</v>
      </c>
    </row>
    <row r="120" spans="1:4" x14ac:dyDescent="0.25">
      <c r="A120" s="5" t="s">
        <v>52</v>
      </c>
      <c r="B120" s="6">
        <f>B114</f>
        <v>8854.1666666666661</v>
      </c>
      <c r="C120" s="6">
        <v>7</v>
      </c>
      <c r="D120" s="22">
        <f>B120*C120</f>
        <v>61979.166666666664</v>
      </c>
    </row>
    <row r="121" spans="1:4" x14ac:dyDescent="0.25">
      <c r="A121" s="5" t="s">
        <v>64</v>
      </c>
      <c r="B121" s="6">
        <f>B115</f>
        <v>12395.833333333332</v>
      </c>
      <c r="C121" s="6">
        <v>4</v>
      </c>
      <c r="D121" s="22">
        <f>B121*C121</f>
        <v>49583.333333333328</v>
      </c>
    </row>
    <row r="122" spans="1:4" x14ac:dyDescent="0.25">
      <c r="A122" s="5"/>
      <c r="B122" s="6"/>
      <c r="C122" s="6"/>
      <c r="D122" s="22"/>
    </row>
    <row r="123" spans="1:4" x14ac:dyDescent="0.25">
      <c r="A123" s="5" t="s">
        <v>53</v>
      </c>
      <c r="B123" s="6"/>
      <c r="C123" s="6"/>
      <c r="D123" s="22">
        <f>D119+D120+D121</f>
        <v>775159.38888888899</v>
      </c>
    </row>
    <row r="124" spans="1:4" x14ac:dyDescent="0.25">
      <c r="A124" s="5"/>
      <c r="B124" s="13"/>
      <c r="C124" s="13"/>
      <c r="D124" s="7"/>
    </row>
    <row r="125" spans="1:4" x14ac:dyDescent="0.25">
      <c r="A125" s="8" t="s">
        <v>50</v>
      </c>
      <c r="B125" s="9"/>
      <c r="C125" s="9"/>
      <c r="D125" s="24">
        <f>D123-D117</f>
        <v>266930.22222222236</v>
      </c>
    </row>
    <row r="130" spans="1:4" x14ac:dyDescent="0.25">
      <c r="A130" s="38" t="s">
        <v>65</v>
      </c>
      <c r="B130" s="39"/>
      <c r="C130" s="39"/>
      <c r="D130" s="40"/>
    </row>
    <row r="131" spans="1:4" x14ac:dyDescent="0.25">
      <c r="A131" s="2"/>
      <c r="B131" s="20" t="s">
        <v>46</v>
      </c>
      <c r="C131" s="20" t="s">
        <v>45</v>
      </c>
      <c r="D131" s="21" t="s">
        <v>47</v>
      </c>
    </row>
    <row r="132" spans="1:4" x14ac:dyDescent="0.25">
      <c r="A132" s="5" t="s">
        <v>56</v>
      </c>
      <c r="B132" s="6">
        <f>1700000/30</f>
        <v>56666.666666666664</v>
      </c>
      <c r="C132" s="6">
        <v>7</v>
      </c>
      <c r="D132" s="22">
        <f>B132*C132</f>
        <v>396666.66666666663</v>
      </c>
    </row>
    <row r="133" spans="1:4" x14ac:dyDescent="0.25">
      <c r="A133" s="5" t="s">
        <v>2</v>
      </c>
      <c r="B133" s="6">
        <f>SALARIOS!B137</f>
        <v>0</v>
      </c>
      <c r="C133" s="6">
        <v>7</v>
      </c>
      <c r="D133" s="22">
        <f>B133*C133</f>
        <v>0</v>
      </c>
    </row>
    <row r="134" spans="1:4" x14ac:dyDescent="0.25">
      <c r="A134" s="5" t="s">
        <v>52</v>
      </c>
      <c r="B134" s="6">
        <v>8854.17</v>
      </c>
      <c r="C134" s="6">
        <v>1</v>
      </c>
      <c r="D134" s="22">
        <f>B134*C134</f>
        <v>8854.17</v>
      </c>
    </row>
    <row r="135" spans="1:4" x14ac:dyDescent="0.25">
      <c r="A135" s="5"/>
      <c r="B135" s="6"/>
      <c r="C135" s="6"/>
      <c r="D135" s="22"/>
    </row>
    <row r="136" spans="1:4" x14ac:dyDescent="0.25">
      <c r="A136" s="5" t="s">
        <v>66</v>
      </c>
      <c r="B136" s="6">
        <v>30000</v>
      </c>
      <c r="C136" s="6">
        <v>7</v>
      </c>
      <c r="D136" s="22">
        <f>B136*C136</f>
        <v>210000</v>
      </c>
    </row>
    <row r="137" spans="1:4" x14ac:dyDescent="0.25">
      <c r="A137" s="5" t="s">
        <v>2</v>
      </c>
      <c r="B137" s="6">
        <f>SALARIOS!B24</f>
        <v>3234.4</v>
      </c>
      <c r="C137" s="6">
        <v>7</v>
      </c>
      <c r="D137" s="22">
        <f>B137*C137</f>
        <v>22640.799999999999</v>
      </c>
    </row>
    <row r="138" spans="1:4" x14ac:dyDescent="0.25">
      <c r="A138" s="5" t="s">
        <v>52</v>
      </c>
      <c r="B138" s="6">
        <v>4687.5</v>
      </c>
      <c r="C138" s="6">
        <v>1</v>
      </c>
      <c r="D138" s="22">
        <f>B138*C138</f>
        <v>4687.5</v>
      </c>
    </row>
    <row r="139" spans="1:4" x14ac:dyDescent="0.25">
      <c r="A139" s="5"/>
      <c r="B139" s="6"/>
      <c r="C139" s="6"/>
      <c r="D139" s="22"/>
    </row>
    <row r="140" spans="1:4" x14ac:dyDescent="0.25">
      <c r="A140" s="5"/>
      <c r="B140" s="6"/>
      <c r="C140" s="6"/>
      <c r="D140" s="22"/>
    </row>
    <row r="141" spans="1:4" x14ac:dyDescent="0.25">
      <c r="A141" s="23" t="s">
        <v>48</v>
      </c>
      <c r="B141" s="13"/>
      <c r="C141" s="13"/>
      <c r="D141" s="22">
        <f>D132+D133+D134+D136+D137+D138</f>
        <v>642849.13666666672</v>
      </c>
    </row>
    <row r="142" spans="1:4" x14ac:dyDescent="0.25">
      <c r="A142" s="5"/>
      <c r="B142" s="13"/>
      <c r="C142" s="13"/>
      <c r="D142" s="7"/>
    </row>
    <row r="143" spans="1:4" x14ac:dyDescent="0.25">
      <c r="A143" s="5"/>
      <c r="B143" s="6"/>
      <c r="C143" s="6"/>
      <c r="D143" s="22"/>
    </row>
    <row r="144" spans="1:4" x14ac:dyDescent="0.25">
      <c r="A144" s="8"/>
      <c r="B144" s="9"/>
      <c r="C144" s="9"/>
      <c r="D144" s="24"/>
    </row>
    <row r="152" spans="1:4" x14ac:dyDescent="0.25">
      <c r="A152" s="38" t="s">
        <v>67</v>
      </c>
      <c r="B152" s="39"/>
      <c r="C152" s="39"/>
      <c r="D152" s="40"/>
    </row>
    <row r="153" spans="1:4" x14ac:dyDescent="0.25">
      <c r="A153" s="2"/>
      <c r="B153" s="20" t="s">
        <v>46</v>
      </c>
      <c r="C153" s="20" t="s">
        <v>45</v>
      </c>
      <c r="D153" s="21" t="s">
        <v>47</v>
      </c>
    </row>
    <row r="154" spans="1:4" x14ac:dyDescent="0.25">
      <c r="A154" s="5" t="s">
        <v>56</v>
      </c>
      <c r="B154" s="6">
        <f>1800000/30</f>
        <v>60000</v>
      </c>
      <c r="C154" s="6">
        <v>7</v>
      </c>
      <c r="D154" s="22">
        <f>B154*C154</f>
        <v>420000</v>
      </c>
    </row>
    <row r="155" spans="1:4" x14ac:dyDescent="0.25">
      <c r="A155" s="5" t="s">
        <v>2</v>
      </c>
      <c r="B155" s="6">
        <f>SALARIOS!B159</f>
        <v>0</v>
      </c>
      <c r="C155" s="6">
        <v>7</v>
      </c>
      <c r="D155" s="22">
        <f>B155*C155</f>
        <v>0</v>
      </c>
    </row>
    <row r="156" spans="1:4" x14ac:dyDescent="0.25">
      <c r="A156" s="5" t="s">
        <v>52</v>
      </c>
      <c r="B156" s="6">
        <v>9375</v>
      </c>
      <c r="C156" s="6">
        <v>6</v>
      </c>
      <c r="D156" s="22">
        <f>B156*C156</f>
        <v>56250</v>
      </c>
    </row>
    <row r="157" spans="1:4" x14ac:dyDescent="0.25">
      <c r="A157" s="5"/>
      <c r="B157" s="6"/>
      <c r="C157" s="6"/>
      <c r="D157" s="22"/>
    </row>
    <row r="158" spans="1:4" x14ac:dyDescent="0.25">
      <c r="A158" s="5" t="s">
        <v>68</v>
      </c>
      <c r="B158" s="6">
        <v>30000</v>
      </c>
      <c r="C158" s="6">
        <v>14</v>
      </c>
      <c r="D158" s="22">
        <f>B158*C158</f>
        <v>420000</v>
      </c>
    </row>
    <row r="159" spans="1:4" x14ac:dyDescent="0.25">
      <c r="A159" s="5" t="s">
        <v>69</v>
      </c>
      <c r="B159" s="6">
        <f>SALARIOS!B24</f>
        <v>3234.4</v>
      </c>
      <c r="C159" s="6">
        <v>14</v>
      </c>
      <c r="D159" s="22">
        <f>B159*C159</f>
        <v>45281.599999999999</v>
      </c>
    </row>
    <row r="160" spans="1:4" x14ac:dyDescent="0.25">
      <c r="A160" s="5" t="s">
        <v>70</v>
      </c>
      <c r="B160" s="6">
        <f>B138</f>
        <v>4687.5</v>
      </c>
      <c r="C160" s="6">
        <v>12</v>
      </c>
      <c r="D160" s="22">
        <f>B160*C160</f>
        <v>56250</v>
      </c>
    </row>
    <row r="161" spans="1:4" x14ac:dyDescent="0.25">
      <c r="A161" s="5"/>
      <c r="B161" s="6"/>
      <c r="C161" s="6"/>
      <c r="D161" s="22"/>
    </row>
    <row r="162" spans="1:4" x14ac:dyDescent="0.25">
      <c r="A162" s="5"/>
      <c r="B162" s="6"/>
      <c r="C162" s="6"/>
      <c r="D162" s="22"/>
    </row>
    <row r="163" spans="1:4" x14ac:dyDescent="0.25">
      <c r="A163" s="23" t="s">
        <v>48</v>
      </c>
      <c r="B163" s="13"/>
      <c r="C163" s="13"/>
      <c r="D163" s="22">
        <f>D154+D155+D156+D158+D159+D160</f>
        <v>997781.6</v>
      </c>
    </row>
    <row r="164" spans="1:4" x14ac:dyDescent="0.25">
      <c r="A164" s="5"/>
      <c r="B164" s="13"/>
      <c r="C164" s="13"/>
      <c r="D164" s="7"/>
    </row>
    <row r="165" spans="1:4" x14ac:dyDescent="0.25">
      <c r="A165" s="5"/>
      <c r="B165" s="6"/>
      <c r="C165" s="6"/>
      <c r="D165" s="22"/>
    </row>
    <row r="166" spans="1:4" x14ac:dyDescent="0.25">
      <c r="A166" s="8"/>
      <c r="B166" s="9"/>
      <c r="C166" s="9"/>
      <c r="D166" s="24"/>
    </row>
  </sheetData>
  <mergeCells count="11">
    <mergeCell ref="A2:D2"/>
    <mergeCell ref="A4:D4"/>
    <mergeCell ref="A19:D19"/>
    <mergeCell ref="A34:D34"/>
    <mergeCell ref="A47:D47"/>
    <mergeCell ref="A92:D92"/>
    <mergeCell ref="A110:D110"/>
    <mergeCell ref="A130:D130"/>
    <mergeCell ref="A152:D152"/>
    <mergeCell ref="A61:D61"/>
    <mergeCell ref="A76:D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8" sqref="E8"/>
    </sheetView>
  </sheetViews>
  <sheetFormatPr baseColWidth="10" defaultRowHeight="15" x14ac:dyDescent="0.25"/>
  <cols>
    <col min="1" max="1" width="24.5703125" customWidth="1"/>
  </cols>
  <sheetData>
    <row r="1" spans="1:5" x14ac:dyDescent="0.25">
      <c r="A1" t="s">
        <v>71</v>
      </c>
    </row>
    <row r="4" spans="1:5" x14ac:dyDescent="0.25">
      <c r="A4" t="s">
        <v>17</v>
      </c>
      <c r="B4" t="s">
        <v>72</v>
      </c>
      <c r="C4" t="s">
        <v>73</v>
      </c>
      <c r="D4" t="s">
        <v>74</v>
      </c>
      <c r="E4" s="25" t="s">
        <v>75</v>
      </c>
    </row>
    <row r="6" spans="1:5" x14ac:dyDescent="0.25">
      <c r="A6" t="s">
        <v>76</v>
      </c>
      <c r="B6" t="s">
        <v>77</v>
      </c>
      <c r="C6" s="25">
        <v>1</v>
      </c>
      <c r="D6">
        <v>28000</v>
      </c>
      <c r="E6" s="26">
        <v>43466</v>
      </c>
    </row>
    <row r="7" spans="1:5" x14ac:dyDescent="0.25">
      <c r="A7" t="s">
        <v>78</v>
      </c>
      <c r="B7" t="s">
        <v>79</v>
      </c>
      <c r="C7" s="25">
        <v>1</v>
      </c>
      <c r="D7">
        <v>45000</v>
      </c>
      <c r="E7" s="26">
        <v>43466</v>
      </c>
    </row>
    <row r="8" spans="1:5" x14ac:dyDescent="0.25">
      <c r="A8" t="s">
        <v>80</v>
      </c>
      <c r="B8" t="s">
        <v>79</v>
      </c>
      <c r="C8" s="25">
        <v>1</v>
      </c>
      <c r="D8">
        <v>65000</v>
      </c>
      <c r="E8" s="26">
        <v>43466</v>
      </c>
    </row>
    <row r="9" spans="1:5" x14ac:dyDescent="0.25">
      <c r="A9" t="s">
        <v>81</v>
      </c>
      <c r="B9" t="s">
        <v>82</v>
      </c>
      <c r="C9" s="25">
        <v>1</v>
      </c>
      <c r="D9">
        <v>15</v>
      </c>
      <c r="E9" s="26">
        <v>43466</v>
      </c>
    </row>
    <row r="10" spans="1:5" x14ac:dyDescent="0.25">
      <c r="A10" t="s">
        <v>83</v>
      </c>
      <c r="B10" t="s">
        <v>79</v>
      </c>
      <c r="C10" s="25">
        <v>1</v>
      </c>
      <c r="D10">
        <v>30000</v>
      </c>
      <c r="E10" s="26">
        <v>43252</v>
      </c>
    </row>
    <row r="11" spans="1:5" x14ac:dyDescent="0.25">
      <c r="A11" t="s">
        <v>91</v>
      </c>
      <c r="B11" t="s">
        <v>94</v>
      </c>
      <c r="C11" s="25">
        <v>1</v>
      </c>
      <c r="D11">
        <v>28600</v>
      </c>
      <c r="E11" s="26">
        <v>43252</v>
      </c>
    </row>
    <row r="12" spans="1:5" x14ac:dyDescent="0.25">
      <c r="A12" t="s">
        <v>93</v>
      </c>
      <c r="B12" t="s">
        <v>94</v>
      </c>
      <c r="C12" s="25">
        <v>1</v>
      </c>
      <c r="D12">
        <v>200</v>
      </c>
      <c r="E12" s="26">
        <v>43252</v>
      </c>
    </row>
    <row r="13" spans="1:5" x14ac:dyDescent="0.25">
      <c r="A13" t="s">
        <v>95</v>
      </c>
      <c r="B13" t="s">
        <v>94</v>
      </c>
      <c r="C13" s="25">
        <v>1</v>
      </c>
      <c r="D13">
        <v>900</v>
      </c>
      <c r="E13" s="26">
        <v>43252</v>
      </c>
    </row>
    <row r="14" spans="1:5" x14ac:dyDescent="0.25">
      <c r="A14" t="s">
        <v>96</v>
      </c>
      <c r="B14" t="s">
        <v>94</v>
      </c>
      <c r="C14" s="25">
        <v>1</v>
      </c>
      <c r="D14">
        <v>4000</v>
      </c>
      <c r="E14" s="26">
        <v>43252</v>
      </c>
    </row>
    <row r="15" spans="1:5" x14ac:dyDescent="0.25">
      <c r="A15" t="s">
        <v>97</v>
      </c>
      <c r="B15" t="s">
        <v>98</v>
      </c>
      <c r="C15" s="25">
        <v>1</v>
      </c>
      <c r="D15">
        <v>2500</v>
      </c>
      <c r="E15" s="26">
        <v>43252</v>
      </c>
    </row>
    <row r="16" spans="1:5" x14ac:dyDescent="0.25">
      <c r="A16" t="s">
        <v>99</v>
      </c>
      <c r="B16" t="s">
        <v>100</v>
      </c>
      <c r="C16" s="25">
        <v>1</v>
      </c>
      <c r="D16">
        <v>3300</v>
      </c>
      <c r="E16" s="26">
        <v>43252</v>
      </c>
    </row>
    <row r="17" spans="1:4" x14ac:dyDescent="0.25">
      <c r="A17" t="s">
        <v>101</v>
      </c>
      <c r="B17" t="s">
        <v>94</v>
      </c>
      <c r="C17" s="25">
        <v>1</v>
      </c>
      <c r="D17">
        <v>7000</v>
      </c>
    </row>
    <row r="18" spans="1:4" x14ac:dyDescent="0.25">
      <c r="A18" t="s">
        <v>102</v>
      </c>
      <c r="B18" t="s">
        <v>79</v>
      </c>
      <c r="C18" s="25">
        <v>1</v>
      </c>
      <c r="D18">
        <v>288926.7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3"/>
  <sheetViews>
    <sheetView workbookViewId="0">
      <selection activeCell="A183" sqref="A183"/>
    </sheetView>
  </sheetViews>
  <sheetFormatPr baseColWidth="10" defaultRowHeight="15" x14ac:dyDescent="0.25"/>
  <cols>
    <col min="1" max="1" width="30" customWidth="1"/>
    <col min="3" max="3" width="13.140625" customWidth="1"/>
    <col min="4" max="4" width="14" customWidth="1"/>
    <col min="5" max="5" width="13.85546875" customWidth="1"/>
    <col min="6" max="6" width="14.85546875" customWidth="1"/>
  </cols>
  <sheetData>
    <row r="2" spans="1:6" x14ac:dyDescent="0.25">
      <c r="A2" t="s">
        <v>84</v>
      </c>
    </row>
    <row r="5" spans="1:6" x14ac:dyDescent="0.25">
      <c r="A5" s="28" t="s">
        <v>85</v>
      </c>
      <c r="C5" s="28" t="s">
        <v>86</v>
      </c>
    </row>
    <row r="7" spans="1:6" ht="18" customHeight="1" x14ac:dyDescent="0.25">
      <c r="A7" s="27" t="s">
        <v>87</v>
      </c>
      <c r="B7" s="27" t="s">
        <v>72</v>
      </c>
      <c r="C7" s="27" t="s">
        <v>73</v>
      </c>
      <c r="D7" s="27" t="s">
        <v>88</v>
      </c>
      <c r="E7" s="27" t="s">
        <v>89</v>
      </c>
      <c r="F7" s="27" t="s">
        <v>90</v>
      </c>
    </row>
    <row r="8" spans="1:6" x14ac:dyDescent="0.25">
      <c r="A8" s="16" t="s">
        <v>91</v>
      </c>
      <c r="B8" s="29" t="s">
        <v>92</v>
      </c>
      <c r="C8" s="29">
        <v>0.68</v>
      </c>
      <c r="D8" s="16">
        <f>INSUMOS!D11</f>
        <v>28600</v>
      </c>
      <c r="E8" s="16">
        <v>0</v>
      </c>
      <c r="F8" s="16">
        <f t="shared" ref="F8:F15" si="0">C8*D8+E8</f>
        <v>19448</v>
      </c>
    </row>
    <row r="9" spans="1:6" x14ac:dyDescent="0.25">
      <c r="A9" s="16" t="s">
        <v>93</v>
      </c>
      <c r="B9" s="29" t="s">
        <v>94</v>
      </c>
      <c r="C9" s="29">
        <v>2</v>
      </c>
      <c r="D9" s="16">
        <f>INSUMOS!D12</f>
        <v>200</v>
      </c>
      <c r="E9" s="16">
        <v>0</v>
      </c>
      <c r="F9" s="16">
        <f t="shared" si="0"/>
        <v>400</v>
      </c>
    </row>
    <row r="10" spans="1:6" x14ac:dyDescent="0.25">
      <c r="A10" s="16" t="s">
        <v>95</v>
      </c>
      <c r="B10" s="29" t="s">
        <v>94</v>
      </c>
      <c r="C10" s="29">
        <v>4</v>
      </c>
      <c r="D10" s="16">
        <f>INSUMOS!D13</f>
        <v>900</v>
      </c>
      <c r="E10" s="16">
        <v>0</v>
      </c>
      <c r="F10" s="16">
        <f t="shared" si="0"/>
        <v>3600</v>
      </c>
    </row>
    <row r="11" spans="1:6" x14ac:dyDescent="0.25">
      <c r="A11" s="16" t="s">
        <v>96</v>
      </c>
      <c r="B11" s="30" t="s">
        <v>94</v>
      </c>
      <c r="C11" s="30">
        <v>1.3</v>
      </c>
      <c r="D11" s="16">
        <f>INSUMOS!D14</f>
        <v>4000</v>
      </c>
      <c r="E11" s="16">
        <v>0</v>
      </c>
      <c r="F11" s="16">
        <f t="shared" si="0"/>
        <v>5200</v>
      </c>
    </row>
    <row r="12" spans="1:6" x14ac:dyDescent="0.25">
      <c r="A12" s="16" t="s">
        <v>97</v>
      </c>
      <c r="B12" s="30" t="s">
        <v>98</v>
      </c>
      <c r="C12" s="30">
        <v>0.5</v>
      </c>
      <c r="D12" s="16">
        <f>INSUMOS!D15</f>
        <v>2500</v>
      </c>
      <c r="E12" s="16">
        <v>0</v>
      </c>
      <c r="F12" s="31">
        <f t="shared" si="0"/>
        <v>1250</v>
      </c>
    </row>
    <row r="13" spans="1:6" x14ac:dyDescent="0.25">
      <c r="A13" s="16" t="s">
        <v>99</v>
      </c>
      <c r="B13" s="30" t="s">
        <v>100</v>
      </c>
      <c r="C13" s="30">
        <v>0.3</v>
      </c>
      <c r="D13" s="16">
        <f>INSUMOS!D16</f>
        <v>3300</v>
      </c>
      <c r="E13" s="16">
        <v>0</v>
      </c>
      <c r="F13" s="31">
        <f t="shared" si="0"/>
        <v>990</v>
      </c>
    </row>
    <row r="14" spans="1:6" x14ac:dyDescent="0.25">
      <c r="A14" s="16" t="s">
        <v>101</v>
      </c>
      <c r="B14" s="30" t="s">
        <v>94</v>
      </c>
      <c r="C14" s="30">
        <v>1</v>
      </c>
      <c r="D14" s="16">
        <f>INSUMOS!D17</f>
        <v>7000</v>
      </c>
      <c r="E14" s="16">
        <v>0</v>
      </c>
      <c r="F14" s="31">
        <f t="shared" si="0"/>
        <v>7000</v>
      </c>
    </row>
    <row r="15" spans="1:6" x14ac:dyDescent="0.25">
      <c r="A15" s="16" t="s">
        <v>102</v>
      </c>
      <c r="B15" s="30" t="s">
        <v>79</v>
      </c>
      <c r="C15" s="30">
        <v>0.05</v>
      </c>
      <c r="D15" s="16">
        <f>INSUMOS!D18</f>
        <v>288926.7</v>
      </c>
      <c r="E15" s="18">
        <f>D15*C15*0.03</f>
        <v>433.39005000000003</v>
      </c>
      <c r="F15" s="32">
        <f t="shared" si="0"/>
        <v>14879.725050000001</v>
      </c>
    </row>
    <row r="16" spans="1:6" x14ac:dyDescent="0.25">
      <c r="A16" s="16" t="s">
        <v>103</v>
      </c>
      <c r="B16" s="16"/>
      <c r="C16" s="16"/>
      <c r="D16" s="16"/>
      <c r="E16" s="16"/>
      <c r="F16" s="32">
        <f>(F17+F18)*0.1</f>
        <v>3684.2564115555565</v>
      </c>
    </row>
    <row r="17" spans="1:6" x14ac:dyDescent="0.25">
      <c r="A17" s="16" t="s">
        <v>104</v>
      </c>
      <c r="B17" s="30" t="s">
        <v>105</v>
      </c>
      <c r="C17" s="18"/>
      <c r="D17" s="18">
        <f>'JORNAL REAL'!C35</f>
        <v>94799.555555555562</v>
      </c>
      <c r="E17" s="16">
        <v>8</v>
      </c>
      <c r="F17" s="18">
        <f>D17/E17</f>
        <v>11849.944444444445</v>
      </c>
    </row>
    <row r="18" spans="1:6" x14ac:dyDescent="0.25">
      <c r="A18" s="16" t="s">
        <v>106</v>
      </c>
      <c r="B18" s="30" t="s">
        <v>105</v>
      </c>
      <c r="C18" s="16"/>
      <c r="D18" s="18">
        <f>'JORNAL REAL'!C17*4</f>
        <v>199940.95736888892</v>
      </c>
      <c r="E18" s="16">
        <v>8</v>
      </c>
      <c r="F18" s="18">
        <f>D18/E18</f>
        <v>24992.619671111115</v>
      </c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 t="s">
        <v>107</v>
      </c>
      <c r="E20" s="16"/>
      <c r="F20" s="18">
        <f>F8+F9+F10+F11+F12+F13+F14+F15+F16+F17+F18</f>
        <v>93294.545577111116</v>
      </c>
    </row>
    <row r="23" spans="1:6" x14ac:dyDescent="0.25">
      <c r="A23" s="28" t="s">
        <v>108</v>
      </c>
      <c r="C23" s="28" t="s">
        <v>86</v>
      </c>
    </row>
    <row r="25" spans="1:6" x14ac:dyDescent="0.25">
      <c r="A25" s="27" t="s">
        <v>87</v>
      </c>
      <c r="B25" s="27" t="s">
        <v>72</v>
      </c>
      <c r="C25" s="27" t="s">
        <v>73</v>
      </c>
      <c r="D25" s="27" t="s">
        <v>88</v>
      </c>
      <c r="E25" s="27" t="s">
        <v>89</v>
      </c>
      <c r="F25" s="27" t="s">
        <v>90</v>
      </c>
    </row>
    <row r="26" spans="1:6" x14ac:dyDescent="0.25">
      <c r="A26" s="16" t="s">
        <v>95</v>
      </c>
      <c r="B26" s="29" t="s">
        <v>94</v>
      </c>
      <c r="C26" s="29">
        <v>0.02</v>
      </c>
      <c r="D26" s="16">
        <v>4000</v>
      </c>
      <c r="E26" s="16">
        <v>1.03</v>
      </c>
      <c r="F26" s="16">
        <f>C26*D26*E26</f>
        <v>82.4</v>
      </c>
    </row>
    <row r="27" spans="1:6" x14ac:dyDescent="0.25">
      <c r="A27" s="16" t="s">
        <v>117</v>
      </c>
      <c r="B27" s="30" t="s">
        <v>98</v>
      </c>
      <c r="C27" s="30">
        <v>0.02</v>
      </c>
      <c r="D27" s="16">
        <v>2700</v>
      </c>
      <c r="E27" s="16">
        <v>0</v>
      </c>
      <c r="F27" s="31">
        <f>C27*D27</f>
        <v>54</v>
      </c>
    </row>
    <row r="28" spans="1:6" x14ac:dyDescent="0.25">
      <c r="A28" s="16" t="s">
        <v>118</v>
      </c>
      <c r="B28" s="30" t="s">
        <v>119</v>
      </c>
      <c r="C28" s="30">
        <v>0.01</v>
      </c>
      <c r="D28" s="16">
        <v>3000</v>
      </c>
      <c r="E28" s="16">
        <v>1.03</v>
      </c>
      <c r="F28" s="31">
        <f>C28*D28*E28</f>
        <v>30.900000000000002</v>
      </c>
    </row>
    <row r="29" spans="1:6" x14ac:dyDescent="0.25">
      <c r="A29" s="16" t="s">
        <v>120</v>
      </c>
      <c r="B29" s="30" t="s">
        <v>119</v>
      </c>
      <c r="C29" s="30">
        <v>0.03</v>
      </c>
      <c r="D29" s="16">
        <v>1400</v>
      </c>
      <c r="E29" s="16">
        <v>1.03</v>
      </c>
      <c r="F29" s="31">
        <f>C29*D29*E29</f>
        <v>43.26</v>
      </c>
    </row>
    <row r="30" spans="1:6" x14ac:dyDescent="0.25">
      <c r="A30" s="16" t="s">
        <v>116</v>
      </c>
      <c r="B30" s="16"/>
      <c r="C30" s="16">
        <v>60000</v>
      </c>
      <c r="D30" s="16">
        <v>400</v>
      </c>
      <c r="E30" s="16"/>
      <c r="F30" s="32">
        <f>C30/D30</f>
        <v>150</v>
      </c>
    </row>
    <row r="31" spans="1:6" x14ac:dyDescent="0.25">
      <c r="A31" s="16" t="s">
        <v>115</v>
      </c>
      <c r="B31" s="30" t="s">
        <v>105</v>
      </c>
      <c r="C31" s="18">
        <v>400000</v>
      </c>
      <c r="D31" s="18">
        <v>400</v>
      </c>
      <c r="E31" s="16"/>
      <c r="F31" s="18">
        <f>C31/D31</f>
        <v>1000</v>
      </c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 t="s">
        <v>107</v>
      </c>
      <c r="E33" s="16"/>
      <c r="F33" s="18">
        <f>F26+F27+F28+F29+F30+F31</f>
        <v>1360.56</v>
      </c>
    </row>
    <row r="36" spans="1:6" x14ac:dyDescent="0.25">
      <c r="A36" s="28" t="s">
        <v>114</v>
      </c>
      <c r="C36" s="28" t="s">
        <v>86</v>
      </c>
    </row>
    <row r="38" spans="1:6" x14ac:dyDescent="0.25">
      <c r="A38" s="27" t="s">
        <v>87</v>
      </c>
      <c r="B38" s="27" t="s">
        <v>72</v>
      </c>
      <c r="C38" s="27" t="s">
        <v>73</v>
      </c>
      <c r="D38" s="27" t="s">
        <v>88</v>
      </c>
      <c r="E38" s="27" t="s">
        <v>89</v>
      </c>
      <c r="F38" s="27" t="s">
        <v>90</v>
      </c>
    </row>
    <row r="39" spans="1:6" x14ac:dyDescent="0.25">
      <c r="A39" s="16" t="s">
        <v>103</v>
      </c>
      <c r="B39" s="16"/>
      <c r="C39" s="16"/>
      <c r="D39" s="16"/>
      <c r="E39" s="16"/>
      <c r="F39" s="32">
        <f>(F40+F41)*0.1</f>
        <v>196.49367528296298</v>
      </c>
    </row>
    <row r="40" spans="1:6" x14ac:dyDescent="0.25">
      <c r="A40" s="16" t="s">
        <v>104</v>
      </c>
      <c r="B40" s="30" t="s">
        <v>105</v>
      </c>
      <c r="C40" s="18"/>
      <c r="D40" s="18">
        <f>D17</f>
        <v>94799.555555555562</v>
      </c>
      <c r="E40" s="16">
        <v>150</v>
      </c>
      <c r="F40" s="18">
        <f>D40/E40</f>
        <v>631.9970370370371</v>
      </c>
    </row>
    <row r="41" spans="1:6" x14ac:dyDescent="0.25">
      <c r="A41" s="16" t="s">
        <v>106</v>
      </c>
      <c r="B41" s="30" t="s">
        <v>105</v>
      </c>
      <c r="C41" s="16"/>
      <c r="D41" s="18">
        <f>D18</f>
        <v>199940.95736888892</v>
      </c>
      <c r="E41" s="16">
        <v>150</v>
      </c>
      <c r="F41" s="18">
        <f>D41/E41</f>
        <v>1332.9397157925928</v>
      </c>
    </row>
    <row r="42" spans="1:6" x14ac:dyDescent="0.25">
      <c r="A42" s="16"/>
      <c r="B42" s="16"/>
      <c r="C42" s="16"/>
      <c r="D42" s="16"/>
      <c r="E42" s="16"/>
      <c r="F42" s="16"/>
    </row>
    <row r="43" spans="1:6" x14ac:dyDescent="0.25">
      <c r="A43" s="16"/>
      <c r="B43" s="16"/>
      <c r="C43" s="16"/>
      <c r="D43" s="16" t="s">
        <v>107</v>
      </c>
      <c r="E43" s="16"/>
      <c r="F43" s="18">
        <f>F39+F40+F41</f>
        <v>2161.4304281125928</v>
      </c>
    </row>
    <row r="47" spans="1:6" x14ac:dyDescent="0.25">
      <c r="A47" s="28" t="s">
        <v>121</v>
      </c>
      <c r="C47" s="28" t="s">
        <v>86</v>
      </c>
    </row>
    <row r="49" spans="1:6" x14ac:dyDescent="0.25">
      <c r="A49" s="27" t="s">
        <v>87</v>
      </c>
      <c r="B49" s="27" t="s">
        <v>72</v>
      </c>
      <c r="C49" s="27" t="s">
        <v>73</v>
      </c>
      <c r="D49" s="27" t="s">
        <v>88</v>
      </c>
      <c r="E49" s="27" t="s">
        <v>89</v>
      </c>
      <c r="F49" s="27" t="s">
        <v>90</v>
      </c>
    </row>
    <row r="50" spans="1:6" x14ac:dyDescent="0.25">
      <c r="A50" s="16" t="s">
        <v>103</v>
      </c>
      <c r="B50" s="16"/>
      <c r="C50" s="16"/>
      <c r="D50" s="16"/>
      <c r="E50" s="16"/>
      <c r="F50" s="32">
        <f>(F51+F52)*0.1</f>
        <v>433.44193077124191</v>
      </c>
    </row>
    <row r="51" spans="1:6" x14ac:dyDescent="0.25">
      <c r="A51" s="16" t="s">
        <v>104</v>
      </c>
      <c r="B51" s="30" t="s">
        <v>105</v>
      </c>
      <c r="C51" s="18"/>
      <c r="D51" s="18">
        <f>D40</f>
        <v>94799.555555555562</v>
      </c>
      <c r="E51" s="16">
        <v>68</v>
      </c>
      <c r="F51" s="18">
        <f>D51/E51</f>
        <v>1394.1111111111113</v>
      </c>
    </row>
    <row r="52" spans="1:6" x14ac:dyDescent="0.25">
      <c r="A52" s="16" t="s">
        <v>106</v>
      </c>
      <c r="B52" s="30" t="s">
        <v>105</v>
      </c>
      <c r="C52" s="16"/>
      <c r="D52" s="18">
        <f>D41</f>
        <v>199940.95736888892</v>
      </c>
      <c r="E52" s="16">
        <v>68</v>
      </c>
      <c r="F52" s="18">
        <f>D52/E52</f>
        <v>2940.3081966013078</v>
      </c>
    </row>
    <row r="53" spans="1:6" x14ac:dyDescent="0.25">
      <c r="A53" s="16"/>
      <c r="B53" s="16"/>
      <c r="C53" s="16"/>
      <c r="D53" s="16"/>
      <c r="E53" s="16"/>
      <c r="F53" s="16"/>
    </row>
    <row r="54" spans="1:6" x14ac:dyDescent="0.25">
      <c r="A54" s="16"/>
      <c r="B54" s="16"/>
      <c r="C54" s="16"/>
      <c r="D54" s="16" t="s">
        <v>107</v>
      </c>
      <c r="E54" s="16"/>
      <c r="F54" s="18">
        <f>F50+F51+F52</f>
        <v>4767.8612384836615</v>
      </c>
    </row>
    <row r="58" spans="1:6" x14ac:dyDescent="0.25">
      <c r="A58" s="28" t="s">
        <v>122</v>
      </c>
      <c r="C58" s="28" t="s">
        <v>86</v>
      </c>
    </row>
    <row r="60" spans="1:6" x14ac:dyDescent="0.25">
      <c r="A60" s="27" t="s">
        <v>87</v>
      </c>
      <c r="B60" s="27" t="s">
        <v>72</v>
      </c>
      <c r="C60" s="27" t="s">
        <v>73</v>
      </c>
      <c r="D60" s="27" t="s">
        <v>88</v>
      </c>
      <c r="E60" s="27" t="s">
        <v>89</v>
      </c>
      <c r="F60" s="27" t="s">
        <v>90</v>
      </c>
    </row>
    <row r="61" spans="1:6" x14ac:dyDescent="0.25">
      <c r="A61" s="16" t="s">
        <v>103</v>
      </c>
      <c r="B61" s="16"/>
      <c r="C61" s="16"/>
      <c r="D61" s="16"/>
      <c r="E61" s="16"/>
      <c r="F61" s="32">
        <f>(F62+F63)*0.1</f>
        <v>736.85128231111128</v>
      </c>
    </row>
    <row r="62" spans="1:6" x14ac:dyDescent="0.25">
      <c r="A62" s="16" t="s">
        <v>104</v>
      </c>
      <c r="B62" s="30" t="s">
        <v>105</v>
      </c>
      <c r="C62" s="18"/>
      <c r="D62" s="18">
        <f>D51</f>
        <v>94799.555555555562</v>
      </c>
      <c r="E62" s="16">
        <v>40</v>
      </c>
      <c r="F62" s="18">
        <f>D62/E62</f>
        <v>2369.9888888888891</v>
      </c>
    </row>
    <row r="63" spans="1:6" x14ac:dyDescent="0.25">
      <c r="A63" s="16" t="s">
        <v>106</v>
      </c>
      <c r="B63" s="30" t="s">
        <v>105</v>
      </c>
      <c r="C63" s="16"/>
      <c r="D63" s="18">
        <f>D52</f>
        <v>199940.95736888892</v>
      </c>
      <c r="E63" s="16">
        <v>40</v>
      </c>
      <c r="F63" s="18">
        <f>D63/E63</f>
        <v>4998.523934222223</v>
      </c>
    </row>
    <row r="64" spans="1:6" x14ac:dyDescent="0.25">
      <c r="A64" s="16"/>
      <c r="B64" s="16"/>
      <c r="C64" s="16"/>
      <c r="D64" s="16"/>
      <c r="E64" s="16"/>
      <c r="F64" s="16"/>
    </row>
    <row r="65" spans="1:6" x14ac:dyDescent="0.25">
      <c r="A65" s="16"/>
      <c r="B65" s="16"/>
      <c r="C65" s="16"/>
      <c r="D65" s="16" t="s">
        <v>107</v>
      </c>
      <c r="E65" s="16"/>
      <c r="F65" s="18">
        <f>F61+F62+F63</f>
        <v>8105.3641054222235</v>
      </c>
    </row>
    <row r="69" spans="1:6" x14ac:dyDescent="0.25">
      <c r="A69" s="28" t="s">
        <v>123</v>
      </c>
      <c r="C69" s="28" t="s">
        <v>86</v>
      </c>
    </row>
    <row r="71" spans="1:6" x14ac:dyDescent="0.25">
      <c r="A71" s="27" t="s">
        <v>87</v>
      </c>
      <c r="B71" s="27" t="s">
        <v>72</v>
      </c>
      <c r="C71" s="27" t="s">
        <v>73</v>
      </c>
      <c r="D71" s="27" t="s">
        <v>88</v>
      </c>
      <c r="E71" s="27" t="s">
        <v>89</v>
      </c>
      <c r="F71" s="27" t="s">
        <v>90</v>
      </c>
    </row>
    <row r="72" spans="1:6" x14ac:dyDescent="0.25">
      <c r="A72" s="16" t="s">
        <v>103</v>
      </c>
      <c r="B72" s="16"/>
      <c r="C72" s="16"/>
      <c r="D72" s="16"/>
      <c r="E72" s="16"/>
      <c r="F72" s="32">
        <f>(F73+F74)*0.1</f>
        <v>245.61709410370378</v>
      </c>
    </row>
    <row r="73" spans="1:6" x14ac:dyDescent="0.25">
      <c r="A73" s="16" t="s">
        <v>104</v>
      </c>
      <c r="B73" s="30" t="s">
        <v>105</v>
      </c>
      <c r="C73" s="18"/>
      <c r="D73" s="18">
        <f>D62</f>
        <v>94799.555555555562</v>
      </c>
      <c r="E73" s="16">
        <v>120</v>
      </c>
      <c r="F73" s="18">
        <f>D73/E73</f>
        <v>789.99629629629635</v>
      </c>
    </row>
    <row r="74" spans="1:6" x14ac:dyDescent="0.25">
      <c r="A74" s="16" t="s">
        <v>106</v>
      </c>
      <c r="B74" s="30" t="s">
        <v>105</v>
      </c>
      <c r="C74" s="16"/>
      <c r="D74" s="18">
        <f>D63</f>
        <v>199940.95736888892</v>
      </c>
      <c r="E74" s="16">
        <v>120</v>
      </c>
      <c r="F74" s="18">
        <f>D74/E74</f>
        <v>1666.1746447407411</v>
      </c>
    </row>
    <row r="75" spans="1:6" x14ac:dyDescent="0.25">
      <c r="A75" s="16"/>
      <c r="B75" s="16"/>
      <c r="C75" s="16"/>
      <c r="D75" s="16"/>
      <c r="E75" s="16"/>
      <c r="F75" s="16"/>
    </row>
    <row r="76" spans="1:6" x14ac:dyDescent="0.25">
      <c r="A76" s="16"/>
      <c r="B76" s="16"/>
      <c r="C76" s="16"/>
      <c r="D76" s="16" t="s">
        <v>107</v>
      </c>
      <c r="E76" s="16"/>
      <c r="F76" s="18">
        <f>F72+F73+F74</f>
        <v>2701.7880351407412</v>
      </c>
    </row>
    <row r="80" spans="1:6" x14ac:dyDescent="0.25">
      <c r="A80" s="28" t="s">
        <v>124</v>
      </c>
      <c r="C80" s="28" t="s">
        <v>127</v>
      </c>
    </row>
    <row r="82" spans="1:6" x14ac:dyDescent="0.25">
      <c r="A82" s="27" t="s">
        <v>87</v>
      </c>
      <c r="B82" s="27" t="s">
        <v>72</v>
      </c>
      <c r="C82" s="27" t="s">
        <v>73</v>
      </c>
      <c r="D82" s="27" t="s">
        <v>88</v>
      </c>
      <c r="E82" s="27" t="s">
        <v>89</v>
      </c>
      <c r="F82" s="27" t="s">
        <v>90</v>
      </c>
    </row>
    <row r="83" spans="1:6" x14ac:dyDescent="0.25">
      <c r="A83" s="16" t="s">
        <v>76</v>
      </c>
      <c r="B83" s="29" t="s">
        <v>125</v>
      </c>
      <c r="C83" s="29">
        <v>12.5</v>
      </c>
      <c r="D83" s="16">
        <v>28000</v>
      </c>
      <c r="E83" s="16">
        <v>1.03</v>
      </c>
      <c r="F83" s="16">
        <f>C83*D83*E83</f>
        <v>360500</v>
      </c>
    </row>
    <row r="84" spans="1:6" x14ac:dyDescent="0.25">
      <c r="A84" s="16" t="s">
        <v>78</v>
      </c>
      <c r="B84" s="30" t="s">
        <v>79</v>
      </c>
      <c r="C84" s="30">
        <v>0.97</v>
      </c>
      <c r="D84" s="16">
        <f>INSUMOS!D7</f>
        <v>45000</v>
      </c>
      <c r="E84" s="16">
        <v>1.03</v>
      </c>
      <c r="F84" s="31">
        <f>C84*D84*E84</f>
        <v>44959.5</v>
      </c>
    </row>
    <row r="85" spans="1:6" x14ac:dyDescent="0.25">
      <c r="A85" s="16" t="s">
        <v>81</v>
      </c>
      <c r="B85" s="30" t="s">
        <v>126</v>
      </c>
      <c r="C85" s="30">
        <v>250</v>
      </c>
      <c r="D85" s="16">
        <v>15</v>
      </c>
      <c r="E85" s="16">
        <v>1.03</v>
      </c>
      <c r="F85" s="31">
        <f>C85*D85*E85</f>
        <v>3862.5</v>
      </c>
    </row>
    <row r="86" spans="1:6" x14ac:dyDescent="0.25">
      <c r="A86" s="16"/>
      <c r="B86" s="16"/>
      <c r="C86" s="16"/>
      <c r="D86" s="16"/>
      <c r="E86" s="16"/>
      <c r="F86" s="16"/>
    </row>
    <row r="87" spans="1:6" x14ac:dyDescent="0.25">
      <c r="A87" s="16"/>
      <c r="B87" s="16"/>
      <c r="C87" s="16"/>
      <c r="D87" s="16" t="s">
        <v>128</v>
      </c>
      <c r="E87" s="16"/>
      <c r="F87" s="18">
        <f>F83+F84+F85</f>
        <v>409322</v>
      </c>
    </row>
    <row r="90" spans="1:6" x14ac:dyDescent="0.25">
      <c r="A90" s="28" t="s">
        <v>129</v>
      </c>
      <c r="C90" s="28" t="s">
        <v>127</v>
      </c>
    </row>
    <row r="92" spans="1:6" x14ac:dyDescent="0.25">
      <c r="A92" s="27" t="s">
        <v>87</v>
      </c>
      <c r="B92" s="27" t="s">
        <v>72</v>
      </c>
      <c r="C92" s="27" t="s">
        <v>73</v>
      </c>
      <c r="D92" s="27" t="s">
        <v>88</v>
      </c>
      <c r="E92" s="27" t="s">
        <v>89</v>
      </c>
      <c r="F92" s="27" t="s">
        <v>90</v>
      </c>
    </row>
    <row r="93" spans="1:6" x14ac:dyDescent="0.25">
      <c r="A93" s="16" t="s">
        <v>76</v>
      </c>
      <c r="B93" s="29" t="s">
        <v>125</v>
      </c>
      <c r="C93" s="29">
        <v>9</v>
      </c>
      <c r="D93" s="16">
        <v>28000</v>
      </c>
      <c r="E93" s="16">
        <v>1.03</v>
      </c>
      <c r="F93" s="16">
        <f>C93*D93*E93</f>
        <v>259560</v>
      </c>
    </row>
    <row r="94" spans="1:6" x14ac:dyDescent="0.25">
      <c r="A94" s="16" t="s">
        <v>78</v>
      </c>
      <c r="B94" s="30" t="s">
        <v>79</v>
      </c>
      <c r="C94" s="30">
        <v>1.0900000000000001</v>
      </c>
      <c r="D94" s="16">
        <f>D84</f>
        <v>45000</v>
      </c>
      <c r="E94" s="16">
        <v>1.03</v>
      </c>
      <c r="F94" s="31">
        <f>C94*D94*E94</f>
        <v>50521.5</v>
      </c>
    </row>
    <row r="95" spans="1:6" x14ac:dyDescent="0.25">
      <c r="A95" s="16" t="s">
        <v>81</v>
      </c>
      <c r="B95" s="30" t="s">
        <v>126</v>
      </c>
      <c r="C95" s="30">
        <v>220</v>
      </c>
      <c r="D95" s="16">
        <v>15</v>
      </c>
      <c r="E95" s="16">
        <v>1.03</v>
      </c>
      <c r="F95" s="31">
        <f>C95*D95*E95</f>
        <v>3399</v>
      </c>
    </row>
    <row r="96" spans="1:6" x14ac:dyDescent="0.25">
      <c r="A96" s="16"/>
      <c r="B96" s="16"/>
      <c r="C96" s="16"/>
      <c r="D96" s="16"/>
      <c r="E96" s="16"/>
      <c r="F96" s="16"/>
    </row>
    <row r="97" spans="1:6" x14ac:dyDescent="0.25">
      <c r="A97" s="16"/>
      <c r="B97" s="16"/>
      <c r="C97" s="16"/>
      <c r="D97" s="16" t="s">
        <v>128</v>
      </c>
      <c r="E97" s="16"/>
      <c r="F97" s="18">
        <f>F93+F94+F95</f>
        <v>313480.5</v>
      </c>
    </row>
    <row r="100" spans="1:6" x14ac:dyDescent="0.25">
      <c r="A100" s="28" t="s">
        <v>130</v>
      </c>
      <c r="C100" s="28" t="s">
        <v>127</v>
      </c>
    </row>
    <row r="102" spans="1:6" x14ac:dyDescent="0.25">
      <c r="A102" s="27" t="s">
        <v>87</v>
      </c>
      <c r="B102" s="27" t="s">
        <v>72</v>
      </c>
      <c r="C102" s="27" t="s">
        <v>73</v>
      </c>
      <c r="D102" s="27" t="s">
        <v>88</v>
      </c>
      <c r="E102" s="27" t="s">
        <v>89</v>
      </c>
      <c r="F102" s="27" t="s">
        <v>90</v>
      </c>
    </row>
    <row r="103" spans="1:6" x14ac:dyDescent="0.25">
      <c r="A103" s="16" t="s">
        <v>76</v>
      </c>
      <c r="B103" s="29" t="s">
        <v>125</v>
      </c>
      <c r="C103" s="29">
        <v>7.25</v>
      </c>
      <c r="D103" s="16">
        <v>28000</v>
      </c>
      <c r="E103" s="16">
        <v>1.03</v>
      </c>
      <c r="F103" s="16">
        <f>C103*D103*E103</f>
        <v>209090</v>
      </c>
    </row>
    <row r="104" spans="1:6" x14ac:dyDescent="0.25">
      <c r="A104" s="16" t="s">
        <v>78</v>
      </c>
      <c r="B104" s="30" t="s">
        <v>79</v>
      </c>
      <c r="C104" s="30">
        <v>1.1599999999999999</v>
      </c>
      <c r="D104" s="16">
        <f>D94</f>
        <v>45000</v>
      </c>
      <c r="E104" s="16">
        <v>1.03</v>
      </c>
      <c r="F104" s="31">
        <f>C104*D104*E104</f>
        <v>53766</v>
      </c>
    </row>
    <row r="105" spans="1:6" x14ac:dyDescent="0.25">
      <c r="A105" s="16" t="s">
        <v>81</v>
      </c>
      <c r="B105" s="30" t="s">
        <v>126</v>
      </c>
      <c r="C105" s="30">
        <v>185</v>
      </c>
      <c r="D105" s="16">
        <v>15</v>
      </c>
      <c r="E105" s="16">
        <v>1.03</v>
      </c>
      <c r="F105" s="31">
        <f>C105*D105*E105</f>
        <v>2858.25</v>
      </c>
    </row>
    <row r="106" spans="1:6" x14ac:dyDescent="0.25">
      <c r="A106" s="16"/>
      <c r="B106" s="16"/>
      <c r="C106" s="16"/>
      <c r="D106" s="16"/>
      <c r="E106" s="16"/>
      <c r="F106" s="16"/>
    </row>
    <row r="107" spans="1:6" x14ac:dyDescent="0.25">
      <c r="A107" s="16"/>
      <c r="B107" s="16"/>
      <c r="C107" s="16"/>
      <c r="D107" s="16" t="s">
        <v>128</v>
      </c>
      <c r="E107" s="16"/>
      <c r="F107" s="18">
        <f>F103+F104+F105</f>
        <v>265714.25</v>
      </c>
    </row>
    <row r="110" spans="1:6" x14ac:dyDescent="0.25">
      <c r="A110" s="28" t="s">
        <v>131</v>
      </c>
      <c r="C110" s="28" t="s">
        <v>127</v>
      </c>
    </row>
    <row r="112" spans="1:6" x14ac:dyDescent="0.25">
      <c r="A112" s="27" t="s">
        <v>87</v>
      </c>
      <c r="B112" s="27" t="s">
        <v>72</v>
      </c>
      <c r="C112" s="27" t="s">
        <v>73</v>
      </c>
      <c r="D112" s="27" t="s">
        <v>88</v>
      </c>
      <c r="E112" s="27" t="s">
        <v>89</v>
      </c>
      <c r="F112" s="27" t="s">
        <v>90</v>
      </c>
    </row>
    <row r="113" spans="1:6" x14ac:dyDescent="0.25">
      <c r="A113" s="16" t="s">
        <v>76</v>
      </c>
      <c r="B113" s="29" t="s">
        <v>125</v>
      </c>
      <c r="C113" s="29">
        <v>8.5</v>
      </c>
      <c r="D113" s="16">
        <v>28000</v>
      </c>
      <c r="E113" s="16">
        <v>1.03</v>
      </c>
      <c r="F113" s="16">
        <f>C113*D113*E113</f>
        <v>245140</v>
      </c>
    </row>
    <row r="114" spans="1:6" x14ac:dyDescent="0.25">
      <c r="A114" s="16" t="s">
        <v>78</v>
      </c>
      <c r="B114" s="30" t="s">
        <v>79</v>
      </c>
      <c r="C114" s="30">
        <v>0.67</v>
      </c>
      <c r="D114" s="16">
        <f>D104</f>
        <v>45000</v>
      </c>
      <c r="E114" s="16">
        <v>1.03</v>
      </c>
      <c r="F114" s="31">
        <f>C114*D114*E114</f>
        <v>31054.5</v>
      </c>
    </row>
    <row r="115" spans="1:6" x14ac:dyDescent="0.25">
      <c r="A115" s="16" t="s">
        <v>80</v>
      </c>
      <c r="B115" s="30" t="s">
        <v>79</v>
      </c>
      <c r="C115" s="30">
        <v>0.67</v>
      </c>
      <c r="D115" s="16">
        <v>65000</v>
      </c>
      <c r="E115" s="16">
        <v>1.03</v>
      </c>
      <c r="F115" s="31">
        <f>C115*D115*E115</f>
        <v>44856.5</v>
      </c>
    </row>
    <row r="116" spans="1:6" x14ac:dyDescent="0.25">
      <c r="A116" s="16" t="s">
        <v>81</v>
      </c>
      <c r="B116" s="29" t="s">
        <v>126</v>
      </c>
      <c r="C116" s="29">
        <v>200</v>
      </c>
      <c r="D116" s="16">
        <f>INSUMOS!D9</f>
        <v>15</v>
      </c>
      <c r="E116" s="16">
        <v>1.03</v>
      </c>
      <c r="F116" s="31">
        <f>C116*D116*E116</f>
        <v>3090</v>
      </c>
    </row>
    <row r="117" spans="1:6" x14ac:dyDescent="0.25">
      <c r="A117" s="16" t="s">
        <v>132</v>
      </c>
      <c r="B117" s="29"/>
      <c r="C117" s="29"/>
      <c r="D117" s="16"/>
      <c r="E117" s="16"/>
      <c r="F117" s="32">
        <f>(F119+F120)*0.1</f>
        <v>2947.4051292444451</v>
      </c>
    </row>
    <row r="118" spans="1:6" x14ac:dyDescent="0.25">
      <c r="A118" s="16" t="s">
        <v>133</v>
      </c>
      <c r="B118" s="29"/>
      <c r="C118" s="29">
        <v>50000</v>
      </c>
      <c r="D118" s="16">
        <v>10</v>
      </c>
      <c r="E118" s="16"/>
      <c r="F118" s="31">
        <f>C118/D118</f>
        <v>5000</v>
      </c>
    </row>
    <row r="119" spans="1:6" x14ac:dyDescent="0.25">
      <c r="A119" s="16" t="s">
        <v>104</v>
      </c>
      <c r="B119" s="29"/>
      <c r="C119" s="33"/>
      <c r="D119" s="18">
        <f>D62</f>
        <v>94799.555555555562</v>
      </c>
      <c r="E119" s="16">
        <v>10</v>
      </c>
      <c r="F119" s="32">
        <f>D119/E119</f>
        <v>9479.9555555555562</v>
      </c>
    </row>
    <row r="120" spans="1:6" x14ac:dyDescent="0.25">
      <c r="A120" s="34" t="s">
        <v>106</v>
      </c>
      <c r="B120" s="16"/>
      <c r="C120" s="16"/>
      <c r="D120" s="18">
        <f>D74</f>
        <v>199940.95736888892</v>
      </c>
      <c r="E120" s="16">
        <v>10</v>
      </c>
      <c r="F120" s="32">
        <f>D120/E120</f>
        <v>19994.095736888892</v>
      </c>
    </row>
    <row r="121" spans="1:6" x14ac:dyDescent="0.25">
      <c r="A121" s="16"/>
      <c r="B121" s="16"/>
      <c r="C121" s="16"/>
      <c r="D121" s="16" t="s">
        <v>128</v>
      </c>
      <c r="E121" s="16"/>
      <c r="F121" s="18">
        <f>F113+F114+F115+F116+F117+F118+F119+F120</f>
        <v>361562.45642168884</v>
      </c>
    </row>
    <row r="126" spans="1:6" x14ac:dyDescent="0.25">
      <c r="A126" s="28" t="s">
        <v>134</v>
      </c>
      <c r="C126" s="28" t="s">
        <v>127</v>
      </c>
    </row>
    <row r="128" spans="1:6" x14ac:dyDescent="0.25">
      <c r="A128" s="27" t="s">
        <v>87</v>
      </c>
      <c r="B128" s="27" t="s">
        <v>72</v>
      </c>
      <c r="C128" s="27" t="s">
        <v>73</v>
      </c>
      <c r="D128" s="27" t="s">
        <v>88</v>
      </c>
      <c r="E128" s="27" t="s">
        <v>89</v>
      </c>
      <c r="F128" s="27" t="s">
        <v>90</v>
      </c>
    </row>
    <row r="129" spans="1:6" x14ac:dyDescent="0.25">
      <c r="A129" s="16" t="s">
        <v>76</v>
      </c>
      <c r="B129" s="29" t="s">
        <v>125</v>
      </c>
      <c r="C129" s="29">
        <v>7</v>
      </c>
      <c r="D129" s="16">
        <v>28000</v>
      </c>
      <c r="E129" s="16">
        <v>1.03</v>
      </c>
      <c r="F129" s="16">
        <f>C129*D129*E129</f>
        <v>201880</v>
      </c>
    </row>
    <row r="130" spans="1:6" x14ac:dyDescent="0.25">
      <c r="A130" s="16" t="s">
        <v>78</v>
      </c>
      <c r="B130" s="30" t="s">
        <v>79</v>
      </c>
      <c r="C130" s="30">
        <v>0.56000000000000005</v>
      </c>
      <c r="D130" s="16">
        <f>D114</f>
        <v>45000</v>
      </c>
      <c r="E130" s="16">
        <v>1.03</v>
      </c>
      <c r="F130" s="31">
        <f>C130*D130*E130</f>
        <v>25956.000000000004</v>
      </c>
    </row>
    <row r="131" spans="1:6" x14ac:dyDescent="0.25">
      <c r="A131" s="16" t="s">
        <v>80</v>
      </c>
      <c r="B131" s="30" t="s">
        <v>79</v>
      </c>
      <c r="C131" s="30">
        <v>0.84</v>
      </c>
      <c r="D131" s="16">
        <f>D115</f>
        <v>65000</v>
      </c>
      <c r="E131" s="16">
        <v>1.03</v>
      </c>
      <c r="F131" s="31">
        <f>C131*D131*E131</f>
        <v>56238</v>
      </c>
    </row>
    <row r="132" spans="1:6" x14ac:dyDescent="0.25">
      <c r="A132" s="16" t="s">
        <v>81</v>
      </c>
      <c r="B132" s="29" t="s">
        <v>126</v>
      </c>
      <c r="C132" s="29">
        <v>180</v>
      </c>
      <c r="D132" s="16">
        <f>D116</f>
        <v>15</v>
      </c>
      <c r="E132" s="16">
        <v>1.03</v>
      </c>
      <c r="F132" s="31">
        <f>C132*D132*E132</f>
        <v>2781</v>
      </c>
    </row>
    <row r="133" spans="1:6" x14ac:dyDescent="0.25">
      <c r="A133" s="16" t="s">
        <v>132</v>
      </c>
      <c r="B133" s="29"/>
      <c r="C133" s="29"/>
      <c r="D133" s="16"/>
      <c r="E133" s="16"/>
      <c r="F133" s="32">
        <f>(F135+F136)*0.1</f>
        <v>2947.4051292444451</v>
      </c>
    </row>
    <row r="134" spans="1:6" x14ac:dyDescent="0.25">
      <c r="A134" s="16" t="s">
        <v>133</v>
      </c>
      <c r="B134" s="29"/>
      <c r="C134" s="29">
        <v>50000</v>
      </c>
      <c r="D134" s="16">
        <v>10</v>
      </c>
      <c r="E134" s="16"/>
      <c r="F134" s="31">
        <f>C134/D134</f>
        <v>5000</v>
      </c>
    </row>
    <row r="135" spans="1:6" x14ac:dyDescent="0.25">
      <c r="A135" s="16" t="s">
        <v>104</v>
      </c>
      <c r="B135" s="29"/>
      <c r="C135" s="33"/>
      <c r="D135" s="18">
        <f>D119</f>
        <v>94799.555555555562</v>
      </c>
      <c r="E135" s="16">
        <v>10</v>
      </c>
      <c r="F135" s="32">
        <f>D135/E135</f>
        <v>9479.9555555555562</v>
      </c>
    </row>
    <row r="136" spans="1:6" x14ac:dyDescent="0.25">
      <c r="A136" s="34" t="s">
        <v>106</v>
      </c>
      <c r="B136" s="16"/>
      <c r="C136" s="16"/>
      <c r="D136" s="18">
        <f>D120</f>
        <v>199940.95736888892</v>
      </c>
      <c r="E136" s="16">
        <v>10</v>
      </c>
      <c r="F136" s="32">
        <f>D136/E136</f>
        <v>19994.095736888892</v>
      </c>
    </row>
    <row r="137" spans="1:6" x14ac:dyDescent="0.25">
      <c r="A137" s="16"/>
      <c r="B137" s="16"/>
      <c r="C137" s="16"/>
      <c r="D137" s="16" t="s">
        <v>128</v>
      </c>
      <c r="E137" s="16"/>
      <c r="F137" s="18">
        <f>F129+F130+F131+F132+F133+F134+F135+F136</f>
        <v>324276.45642168884</v>
      </c>
    </row>
    <row r="141" spans="1:6" x14ac:dyDescent="0.25">
      <c r="A141" s="28" t="s">
        <v>135</v>
      </c>
      <c r="C141" s="28" t="s">
        <v>127</v>
      </c>
    </row>
    <row r="143" spans="1:6" x14ac:dyDescent="0.25">
      <c r="A143" s="27" t="s">
        <v>87</v>
      </c>
      <c r="B143" s="27" t="s">
        <v>72</v>
      </c>
      <c r="C143" s="27" t="s">
        <v>73</v>
      </c>
      <c r="D143" s="27" t="s">
        <v>88</v>
      </c>
      <c r="E143" s="27" t="s">
        <v>89</v>
      </c>
      <c r="F143" s="27" t="s">
        <v>90</v>
      </c>
    </row>
    <row r="144" spans="1:6" x14ac:dyDescent="0.25">
      <c r="A144" s="16" t="s">
        <v>76</v>
      </c>
      <c r="B144" s="29" t="s">
        <v>125</v>
      </c>
      <c r="C144" s="29">
        <v>6</v>
      </c>
      <c r="D144" s="16">
        <v>28000</v>
      </c>
      <c r="E144" s="16">
        <v>1.03</v>
      </c>
      <c r="F144" s="16">
        <f>C144*D144*E144</f>
        <v>173040</v>
      </c>
    </row>
    <row r="145" spans="1:6" x14ac:dyDescent="0.25">
      <c r="A145" s="16" t="s">
        <v>78</v>
      </c>
      <c r="B145" s="30" t="s">
        <v>79</v>
      </c>
      <c r="C145" s="30">
        <v>0.47499999999999998</v>
      </c>
      <c r="D145" s="16">
        <f>D130</f>
        <v>45000</v>
      </c>
      <c r="E145" s="16">
        <v>1.03</v>
      </c>
      <c r="F145" s="31">
        <f>C145*D145*E145</f>
        <v>22016.25</v>
      </c>
    </row>
    <row r="146" spans="1:6" x14ac:dyDescent="0.25">
      <c r="A146" s="16" t="s">
        <v>80</v>
      </c>
      <c r="B146" s="30" t="s">
        <v>79</v>
      </c>
      <c r="C146" s="30">
        <v>0.95</v>
      </c>
      <c r="D146" s="16">
        <f>D131</f>
        <v>65000</v>
      </c>
      <c r="E146" s="16">
        <v>1.03</v>
      </c>
      <c r="F146" s="31">
        <f>C146*D146*E146</f>
        <v>63602.5</v>
      </c>
    </row>
    <row r="147" spans="1:6" x14ac:dyDescent="0.25">
      <c r="A147" s="16" t="s">
        <v>81</v>
      </c>
      <c r="B147" s="29" t="s">
        <v>126</v>
      </c>
      <c r="C147" s="29">
        <v>170</v>
      </c>
      <c r="D147" s="16">
        <f>D132</f>
        <v>15</v>
      </c>
      <c r="E147" s="16">
        <v>1.03</v>
      </c>
      <c r="F147" s="31">
        <f>C147*D147*E147</f>
        <v>2626.5</v>
      </c>
    </row>
    <row r="148" spans="1:6" x14ac:dyDescent="0.25">
      <c r="A148" s="16" t="s">
        <v>132</v>
      </c>
      <c r="B148" s="29"/>
      <c r="C148" s="29"/>
      <c r="D148" s="16"/>
      <c r="E148" s="16"/>
      <c r="F148" s="32">
        <f>(F150+F151)*0.1</f>
        <v>2947.4051292444451</v>
      </c>
    </row>
    <row r="149" spans="1:6" x14ac:dyDescent="0.25">
      <c r="A149" s="16" t="s">
        <v>133</v>
      </c>
      <c r="B149" s="29"/>
      <c r="C149" s="29">
        <v>50000</v>
      </c>
      <c r="D149" s="16">
        <v>10</v>
      </c>
      <c r="E149" s="16"/>
      <c r="F149" s="31">
        <f>C149/D149</f>
        <v>5000</v>
      </c>
    </row>
    <row r="150" spans="1:6" x14ac:dyDescent="0.25">
      <c r="A150" s="16" t="s">
        <v>104</v>
      </c>
      <c r="B150" s="29"/>
      <c r="C150" s="33"/>
      <c r="D150" s="18">
        <f>D135</f>
        <v>94799.555555555562</v>
      </c>
      <c r="E150" s="16">
        <v>10</v>
      </c>
      <c r="F150" s="32">
        <f>D150/E150</f>
        <v>9479.9555555555562</v>
      </c>
    </row>
    <row r="151" spans="1:6" x14ac:dyDescent="0.25">
      <c r="A151" s="34" t="s">
        <v>106</v>
      </c>
      <c r="B151" s="16"/>
      <c r="C151" s="16"/>
      <c r="D151" s="18">
        <f>D136</f>
        <v>199940.95736888892</v>
      </c>
      <c r="E151" s="16">
        <v>10</v>
      </c>
      <c r="F151" s="32">
        <f>D151/E151</f>
        <v>19994.095736888892</v>
      </c>
    </row>
    <row r="152" spans="1:6" x14ac:dyDescent="0.25">
      <c r="A152" s="16"/>
      <c r="B152" s="16"/>
      <c r="C152" s="16"/>
      <c r="D152" s="16" t="s">
        <v>128</v>
      </c>
      <c r="E152" s="16"/>
      <c r="F152" s="18">
        <f>F144+F145+F146+F147+F148+F149+F150+F151</f>
        <v>298706.70642168884</v>
      </c>
    </row>
    <row r="157" spans="1:6" x14ac:dyDescent="0.25">
      <c r="A157" s="28" t="s">
        <v>136</v>
      </c>
      <c r="C157" s="28" t="s">
        <v>127</v>
      </c>
    </row>
    <row r="159" spans="1:6" x14ac:dyDescent="0.25">
      <c r="A159" s="27" t="s">
        <v>87</v>
      </c>
      <c r="B159" s="27" t="s">
        <v>72</v>
      </c>
      <c r="C159" s="27" t="s">
        <v>73</v>
      </c>
      <c r="D159" s="27" t="s">
        <v>88</v>
      </c>
      <c r="E159" s="27" t="s">
        <v>89</v>
      </c>
      <c r="F159" s="27" t="s">
        <v>90</v>
      </c>
    </row>
    <row r="160" spans="1:6" x14ac:dyDescent="0.25">
      <c r="A160" s="16" t="s">
        <v>103</v>
      </c>
      <c r="B160" s="16"/>
      <c r="C160" s="16"/>
      <c r="D160" s="16"/>
      <c r="E160" s="16"/>
      <c r="F160" s="32">
        <f>F161*0.1</f>
        <v>1428.149695492064</v>
      </c>
    </row>
    <row r="161" spans="1:6" x14ac:dyDescent="0.25">
      <c r="A161" s="16" t="s">
        <v>137</v>
      </c>
      <c r="B161" s="30"/>
      <c r="C161" s="16"/>
      <c r="D161" s="18">
        <f>D151/4</f>
        <v>49985.23934222223</v>
      </c>
      <c r="E161" s="16">
        <v>3.5</v>
      </c>
      <c r="F161" s="18">
        <f>D161/E161</f>
        <v>14281.496954920638</v>
      </c>
    </row>
    <row r="162" spans="1:6" x14ac:dyDescent="0.25">
      <c r="A162" s="16"/>
      <c r="B162" s="16"/>
      <c r="C162" s="16"/>
      <c r="D162" s="16"/>
      <c r="E162" s="16"/>
      <c r="F162" s="16"/>
    </row>
    <row r="163" spans="1:6" x14ac:dyDescent="0.25">
      <c r="A163" s="16"/>
      <c r="B163" s="16"/>
      <c r="C163" s="16"/>
      <c r="D163" s="16" t="s">
        <v>107</v>
      </c>
      <c r="E163" s="16"/>
      <c r="F163" s="18">
        <f>F160+F161</f>
        <v>15709.646650412702</v>
      </c>
    </row>
    <row r="167" spans="1:6" x14ac:dyDescent="0.25">
      <c r="A167" s="28" t="s">
        <v>138</v>
      </c>
      <c r="D167" s="28" t="s">
        <v>127</v>
      </c>
    </row>
    <row r="169" spans="1:6" x14ac:dyDescent="0.25">
      <c r="A169" s="27" t="s">
        <v>87</v>
      </c>
      <c r="B169" s="27" t="s">
        <v>72</v>
      </c>
      <c r="C169" s="27" t="s">
        <v>73</v>
      </c>
      <c r="D169" s="27" t="s">
        <v>88</v>
      </c>
      <c r="E169" s="27" t="s">
        <v>89</v>
      </c>
      <c r="F169" s="27" t="s">
        <v>90</v>
      </c>
    </row>
    <row r="170" spans="1:6" x14ac:dyDescent="0.25">
      <c r="A170" s="16" t="s">
        <v>103</v>
      </c>
      <c r="B170" s="16"/>
      <c r="C170" s="16"/>
      <c r="D170" s="16"/>
      <c r="E170" s="16"/>
      <c r="F170" s="32">
        <f>F171*0.1</f>
        <v>3124.0774588888894</v>
      </c>
    </row>
    <row r="171" spans="1:6" x14ac:dyDescent="0.25">
      <c r="A171" s="16" t="s">
        <v>137</v>
      </c>
      <c r="B171" s="30"/>
      <c r="C171" s="16"/>
      <c r="D171" s="18">
        <f>D161</f>
        <v>49985.23934222223</v>
      </c>
      <c r="E171" s="16">
        <v>1.6</v>
      </c>
      <c r="F171" s="18">
        <f>D171/E171</f>
        <v>31240.774588888893</v>
      </c>
    </row>
    <row r="172" spans="1:6" x14ac:dyDescent="0.25">
      <c r="A172" s="16"/>
      <c r="B172" s="16"/>
      <c r="C172" s="16"/>
      <c r="D172" s="16"/>
      <c r="E172" s="16"/>
      <c r="F172" s="16"/>
    </row>
    <row r="173" spans="1:6" x14ac:dyDescent="0.25">
      <c r="A173" s="16"/>
      <c r="B173" s="16"/>
      <c r="C173" s="16"/>
      <c r="D173" s="16" t="s">
        <v>107</v>
      </c>
      <c r="E173" s="16"/>
      <c r="F173" s="18">
        <f>F170+F171</f>
        <v>34364.852047777786</v>
      </c>
    </row>
    <row r="176" spans="1:6" x14ac:dyDescent="0.25">
      <c r="A176" s="28" t="s">
        <v>139</v>
      </c>
      <c r="D176" s="28" t="s">
        <v>127</v>
      </c>
    </row>
    <row r="178" spans="1:6" x14ac:dyDescent="0.25">
      <c r="A178" s="27" t="s">
        <v>87</v>
      </c>
      <c r="B178" s="27" t="s">
        <v>72</v>
      </c>
      <c r="C178" s="27" t="s">
        <v>73</v>
      </c>
      <c r="D178" s="27" t="s">
        <v>88</v>
      </c>
      <c r="E178" s="27" t="s">
        <v>89</v>
      </c>
      <c r="F178" s="27" t="s">
        <v>90</v>
      </c>
    </row>
    <row r="179" spans="1:6" x14ac:dyDescent="0.25">
      <c r="A179" s="16" t="s">
        <v>103</v>
      </c>
      <c r="B179" s="16"/>
      <c r="C179" s="16"/>
      <c r="D179" s="16"/>
      <c r="E179" s="16"/>
      <c r="F179" s="32">
        <f>F181*0.1</f>
        <v>0</v>
      </c>
    </row>
    <row r="180" spans="1:6" x14ac:dyDescent="0.25">
      <c r="A180" s="16" t="s">
        <v>140</v>
      </c>
      <c r="B180" s="16"/>
      <c r="C180" s="16"/>
      <c r="D180" s="16"/>
      <c r="E180" s="16"/>
      <c r="F180" s="32"/>
    </row>
    <row r="181" spans="1:6" x14ac:dyDescent="0.25">
      <c r="A181" s="16" t="s">
        <v>104</v>
      </c>
      <c r="B181" s="30"/>
      <c r="C181" s="16"/>
      <c r="D181" s="18">
        <f>D170</f>
        <v>0</v>
      </c>
      <c r="E181" s="16">
        <v>1.6</v>
      </c>
      <c r="F181" s="18">
        <f>D181/E181</f>
        <v>0</v>
      </c>
    </row>
    <row r="182" spans="1:6" x14ac:dyDescent="0.25">
      <c r="A182" s="16" t="s">
        <v>106</v>
      </c>
      <c r="B182" s="16"/>
      <c r="C182" s="16"/>
      <c r="D182" s="16"/>
      <c r="E182" s="16"/>
      <c r="F182" s="16"/>
    </row>
    <row r="183" spans="1:6" x14ac:dyDescent="0.25">
      <c r="A183" s="16"/>
      <c r="B183" s="16"/>
      <c r="C183" s="16"/>
      <c r="D183" s="16" t="s">
        <v>107</v>
      </c>
      <c r="E183" s="16"/>
      <c r="F183" s="18">
        <f>F179+F181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SALARIOS</vt:lpstr>
      <vt:lpstr>JORNAL REAL</vt:lpstr>
      <vt:lpstr>VALOR DE CUADRILLAS</vt:lpstr>
      <vt:lpstr>EJEMPLOS CAP 1</vt:lpstr>
      <vt:lpstr>PROPUESTOS</vt:lpstr>
      <vt:lpstr>INSUMOS</vt:lpstr>
      <vt:lpstr>A.I.U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2019-02-15T15:21:46Z</dcterms:modified>
</cp:coreProperties>
</file>